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kvm32375\Desktop\Kristen Docs\Work In Progress\50126 - Air Monitoring - Chuck\Am 3 (Sept 2023)\"/>
    </mc:Choice>
  </mc:AlternateContent>
  <xr:revisionPtr revIDLastSave="0" documentId="13_ncr:1_{0F81C2A8-6B50-4D17-BD43-0FCDAF691009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Final calcs" sheetId="1" r:id="rId1"/>
    <sheet name="xfer to format" sheetId="3" state="hidden" r:id="rId2"/>
    <sheet name="Personel Overall" sheetId="4" r:id="rId3"/>
    <sheet name="Personnel 2021" sheetId="5" r:id="rId4"/>
    <sheet name="Personnel 2022" sheetId="6" r:id="rId5"/>
    <sheet name="Personnel 2023" sheetId="7" r:id="rId6"/>
    <sheet name="Personnel 2024" sheetId="8" r:id="rId7"/>
    <sheet name="Personnel 2025" sheetId="9" r:id="rId8"/>
    <sheet name="Personnel 2026" sheetId="10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E7" i="4"/>
  <c r="G14" i="7"/>
  <c r="F14" i="7"/>
  <c r="G15" i="5"/>
  <c r="F15" i="5"/>
  <c r="G14" i="6"/>
  <c r="F14" i="6"/>
  <c r="G14" i="10"/>
  <c r="F14" i="10"/>
  <c r="G14" i="9"/>
  <c r="F14" i="9"/>
  <c r="G14" i="8"/>
  <c r="F14" i="8"/>
  <c r="C10" i="4"/>
  <c r="D7" i="4"/>
  <c r="C8" i="4"/>
  <c r="D9" i="4" l="1"/>
  <c r="AC67" i="1"/>
  <c r="AD84" i="1"/>
  <c r="C45" i="1"/>
  <c r="C24" i="1"/>
  <c r="C20" i="1"/>
  <c r="C17" i="1"/>
  <c r="C27" i="1"/>
  <c r="C30" i="1"/>
  <c r="N8" i="8"/>
  <c r="Q20" i="1" l="1"/>
  <c r="P20" i="1"/>
  <c r="O20" i="1"/>
  <c r="N20" i="1"/>
  <c r="C37" i="1"/>
  <c r="W49" i="1"/>
  <c r="V49" i="1"/>
  <c r="U49" i="1"/>
  <c r="T49" i="1"/>
  <c r="H13" i="10" l="1"/>
  <c r="G13" i="10"/>
  <c r="F13" i="10"/>
  <c r="F13" i="9"/>
  <c r="F13" i="8"/>
  <c r="C28" i="1" l="1"/>
  <c r="C23" i="1"/>
  <c r="P18" i="1"/>
  <c r="K18" i="1"/>
  <c r="Z29" i="1"/>
  <c r="Y29" i="1"/>
  <c r="X29" i="1"/>
  <c r="S29" i="1"/>
  <c r="W29" i="1"/>
  <c r="V29" i="1"/>
  <c r="U29" i="1"/>
  <c r="T29" i="1"/>
  <c r="J57" i="1"/>
  <c r="H57" i="1"/>
  <c r="G57" i="1"/>
  <c r="F57" i="1"/>
  <c r="E57" i="1"/>
  <c r="D57" i="1"/>
  <c r="Z54" i="1"/>
  <c r="Z57" i="1" s="1"/>
  <c r="O54" i="1"/>
  <c r="W54" i="1"/>
  <c r="V54" i="1"/>
  <c r="AA53" i="1"/>
  <c r="Z53" i="1"/>
  <c r="Y53" i="1"/>
  <c r="X53" i="1"/>
  <c r="W53" i="1"/>
  <c r="V53" i="1"/>
  <c r="U53" i="1"/>
  <c r="T53" i="1"/>
  <c r="S53" i="1"/>
  <c r="R53" i="1"/>
  <c r="Q53" i="1"/>
  <c r="P53" i="1"/>
  <c r="AA51" i="1"/>
  <c r="W51" i="1"/>
  <c r="S51" i="1"/>
  <c r="AB51" i="1" s="1"/>
  <c r="AA50" i="1"/>
  <c r="AA57" i="1" s="1"/>
  <c r="Y50" i="1"/>
  <c r="W50" i="1"/>
  <c r="U50" i="1"/>
  <c r="Q50" i="1"/>
  <c r="S50" i="1"/>
  <c r="O50" i="1"/>
  <c r="X49" i="1"/>
  <c r="I12" i="4"/>
  <c r="I11" i="4"/>
  <c r="I10" i="4"/>
  <c r="I9" i="4"/>
  <c r="I8" i="4"/>
  <c r="I7" i="4"/>
  <c r="I6" i="4"/>
  <c r="D17" i="7" l="1"/>
  <c r="D16" i="7"/>
  <c r="D17" i="6"/>
  <c r="F17" i="6" s="1"/>
  <c r="D15" i="6"/>
  <c r="D17" i="5"/>
  <c r="G17" i="7" l="1"/>
  <c r="E17" i="7"/>
  <c r="F17" i="7"/>
  <c r="E16" i="7"/>
  <c r="G16" i="7" s="1"/>
  <c r="F16" i="7"/>
  <c r="E17" i="6"/>
  <c r="G17" i="6" s="1"/>
  <c r="E15" i="6"/>
  <c r="G15" i="6" s="1"/>
  <c r="F15" i="6"/>
  <c r="F17" i="5"/>
  <c r="E17" i="5"/>
  <c r="G17" i="5" s="1"/>
  <c r="C12" i="10" l="1"/>
  <c r="C11" i="10"/>
  <c r="C10" i="10"/>
  <c r="C9" i="10"/>
  <c r="C7" i="10"/>
  <c r="C6" i="10"/>
  <c r="E9" i="9" l="1"/>
  <c r="E17" i="10"/>
  <c r="E16" i="10"/>
  <c r="H16" i="10" s="1"/>
  <c r="E12" i="10"/>
  <c r="E11" i="10"/>
  <c r="E10" i="10"/>
  <c r="E9" i="10"/>
  <c r="E8" i="10"/>
  <c r="E7" i="10"/>
  <c r="E6" i="10"/>
  <c r="F6" i="10" s="1"/>
  <c r="E17" i="9"/>
  <c r="H17" i="9" s="1"/>
  <c r="E16" i="9"/>
  <c r="H16" i="9" s="1"/>
  <c r="E12" i="9"/>
  <c r="E11" i="9"/>
  <c r="E10" i="9"/>
  <c r="E8" i="9"/>
  <c r="G8" i="9" s="1"/>
  <c r="E7" i="9"/>
  <c r="E6" i="9"/>
  <c r="F6" i="9" s="1"/>
  <c r="T55" i="1"/>
  <c r="R54" i="1"/>
  <c r="Q52" i="1"/>
  <c r="S49" i="1"/>
  <c r="C47" i="1"/>
  <c r="S45" i="1"/>
  <c r="AB45" i="1" s="1"/>
  <c r="P44" i="1"/>
  <c r="I44" i="1"/>
  <c r="AB43" i="1"/>
  <c r="V40" i="1"/>
  <c r="U40" i="1"/>
  <c r="T40" i="1"/>
  <c r="O40" i="1"/>
  <c r="N40" i="1"/>
  <c r="M40" i="1"/>
  <c r="L40" i="1"/>
  <c r="T39" i="1"/>
  <c r="S39" i="1"/>
  <c r="R39" i="1"/>
  <c r="Q39" i="1"/>
  <c r="O39" i="1"/>
  <c r="M39" i="1"/>
  <c r="L39" i="1"/>
  <c r="AB38" i="1"/>
  <c r="AB36" i="1"/>
  <c r="S35" i="1"/>
  <c r="Q35" i="1"/>
  <c r="N35" i="1"/>
  <c r="L35" i="1"/>
  <c r="AB35" i="1" s="1"/>
  <c r="X34" i="1"/>
  <c r="W34" i="1"/>
  <c r="V34" i="1"/>
  <c r="U34" i="1"/>
  <c r="M34" i="1"/>
  <c r="L34" i="1"/>
  <c r="AB33" i="1"/>
  <c r="Z32" i="1"/>
  <c r="V32" i="1"/>
  <c r="R32" i="1"/>
  <c r="N32" i="1"/>
  <c r="L32" i="1"/>
  <c r="J32" i="1"/>
  <c r="AB29" i="1"/>
  <c r="R28" i="1"/>
  <c r="O27" i="1"/>
  <c r="AB27" i="1" s="1"/>
  <c r="U26" i="1"/>
  <c r="T26" i="1"/>
  <c r="S26" i="1"/>
  <c r="R26" i="1"/>
  <c r="Q26" i="1"/>
  <c r="P26" i="1"/>
  <c r="O26" i="1"/>
  <c r="N26" i="1"/>
  <c r="M23" i="1"/>
  <c r="I23" i="1"/>
  <c r="I57" i="1" s="1"/>
  <c r="M22" i="1"/>
  <c r="I22" i="1"/>
  <c r="C21" i="1"/>
  <c r="F21" i="1" s="1"/>
  <c r="AB19" i="1"/>
  <c r="AB18" i="1"/>
  <c r="K17" i="1"/>
  <c r="AB16" i="1"/>
  <c r="C16" i="1"/>
  <c r="H15" i="1"/>
  <c r="AB15" i="1" s="1"/>
  <c r="C13" i="1"/>
  <c r="AB12" i="1"/>
  <c r="AB11" i="1"/>
  <c r="O10" i="1"/>
  <c r="AB10" i="1" s="1"/>
  <c r="N9" i="1"/>
  <c r="AB9" i="1" s="1"/>
  <c r="K8" i="1"/>
  <c r="J8" i="1"/>
  <c r="C4" i="1"/>
  <c r="N4" i="1" s="1"/>
  <c r="C3" i="1"/>
  <c r="C5" i="1" s="1"/>
  <c r="AB2" i="1"/>
  <c r="AB17" i="1" l="1"/>
  <c r="K57" i="1"/>
  <c r="Q37" i="1"/>
  <c r="AB37" i="1" s="1"/>
  <c r="AB22" i="1"/>
  <c r="H17" i="10"/>
  <c r="C19" i="4"/>
  <c r="G6" i="9"/>
  <c r="H6" i="9" s="1"/>
  <c r="U52" i="1"/>
  <c r="S52" i="1"/>
  <c r="R52" i="1"/>
  <c r="AB32" i="1"/>
  <c r="AB46" i="1"/>
  <c r="S54" i="1"/>
  <c r="X54" i="1"/>
  <c r="M55" i="1"/>
  <c r="M57" i="1" s="1"/>
  <c r="AB44" i="1"/>
  <c r="AB23" i="1"/>
  <c r="O3" i="1"/>
  <c r="N3" i="1"/>
  <c r="AB26" i="1"/>
  <c r="O55" i="1"/>
  <c r="P55" i="1"/>
  <c r="AB34" i="1"/>
  <c r="AB39" i="1"/>
  <c r="Q55" i="1"/>
  <c r="R55" i="1"/>
  <c r="U55" i="1"/>
  <c r="V55" i="1"/>
  <c r="AB50" i="1"/>
  <c r="AB40" i="1"/>
  <c r="C41" i="1"/>
  <c r="AB20" i="1"/>
  <c r="S28" i="1"/>
  <c r="T28" i="1"/>
  <c r="AB8" i="1"/>
  <c r="T54" i="1"/>
  <c r="N55" i="1"/>
  <c r="N57" i="1" s="1"/>
  <c r="G6" i="10"/>
  <c r="H6" i="10" s="1"/>
  <c r="F9" i="9"/>
  <c r="H9" i="9" s="1"/>
  <c r="G9" i="9"/>
  <c r="G12" i="10"/>
  <c r="F12" i="10"/>
  <c r="F10" i="10"/>
  <c r="H10" i="10" s="1"/>
  <c r="G10" i="10"/>
  <c r="G9" i="10"/>
  <c r="F9" i="10"/>
  <c r="G11" i="10"/>
  <c r="F11" i="10"/>
  <c r="G7" i="10"/>
  <c r="E13" i="10"/>
  <c r="F7" i="10"/>
  <c r="G8" i="10"/>
  <c r="F8" i="10"/>
  <c r="H8" i="10" s="1"/>
  <c r="G7" i="9"/>
  <c r="F7" i="9"/>
  <c r="E13" i="9"/>
  <c r="G11" i="9"/>
  <c r="F11" i="9"/>
  <c r="G12" i="9"/>
  <c r="F12" i="9"/>
  <c r="F8" i="9"/>
  <c r="H8" i="9" s="1"/>
  <c r="F10" i="9"/>
  <c r="G10" i="9"/>
  <c r="AB21" i="1"/>
  <c r="U28" i="1"/>
  <c r="P49" i="1"/>
  <c r="T52" i="1"/>
  <c r="AB53" i="1"/>
  <c r="U54" i="1"/>
  <c r="Q49" i="1"/>
  <c r="C56" i="1"/>
  <c r="C57" i="1" s="1"/>
  <c r="R49" i="1"/>
  <c r="V52" i="1"/>
  <c r="V57" i="1" s="1"/>
  <c r="Y54" i="1"/>
  <c r="Y57" i="1" s="1"/>
  <c r="P28" i="1"/>
  <c r="W52" i="1"/>
  <c r="W57" i="1" s="1"/>
  <c r="P54" i="1"/>
  <c r="O28" i="1"/>
  <c r="O4" i="1"/>
  <c r="Q28" i="1"/>
  <c r="P52" i="1"/>
  <c r="X52" i="1"/>
  <c r="Q54" i="1"/>
  <c r="S55" i="1"/>
  <c r="L55" i="1"/>
  <c r="L57" i="1" s="1"/>
  <c r="E12" i="5"/>
  <c r="G12" i="5" s="1"/>
  <c r="E11" i="5"/>
  <c r="E12" i="6"/>
  <c r="E11" i="6"/>
  <c r="E10" i="6"/>
  <c r="E9" i="6"/>
  <c r="E8" i="6"/>
  <c r="E7" i="6"/>
  <c r="C6" i="6"/>
  <c r="E6" i="6" s="1"/>
  <c r="C12" i="7"/>
  <c r="E12" i="7" s="1"/>
  <c r="C12" i="4" s="1"/>
  <c r="C11" i="7"/>
  <c r="E11" i="7" s="1"/>
  <c r="F11" i="7" s="1"/>
  <c r="D11" i="4" s="1"/>
  <c r="C10" i="7"/>
  <c r="E10" i="7" s="1"/>
  <c r="C9" i="7"/>
  <c r="E9" i="7" s="1"/>
  <c r="C8" i="7"/>
  <c r="E8" i="7" s="1"/>
  <c r="C7" i="7"/>
  <c r="E7" i="7" s="1"/>
  <c r="C7" i="4" s="1"/>
  <c r="C6" i="7"/>
  <c r="E6" i="7" s="1"/>
  <c r="E12" i="8"/>
  <c r="E11" i="8"/>
  <c r="E10" i="8"/>
  <c r="E9" i="8"/>
  <c r="E8" i="8"/>
  <c r="E7" i="8"/>
  <c r="E6" i="8"/>
  <c r="R57" i="1" l="1"/>
  <c r="S57" i="1"/>
  <c r="T57" i="1"/>
  <c r="U57" i="1"/>
  <c r="X57" i="1"/>
  <c r="P57" i="1"/>
  <c r="Q57" i="1"/>
  <c r="O57" i="1"/>
  <c r="H11" i="9"/>
  <c r="H10" i="9"/>
  <c r="H12" i="9"/>
  <c r="C11" i="4"/>
  <c r="AB3" i="1"/>
  <c r="H12" i="10"/>
  <c r="H11" i="10"/>
  <c r="G9" i="8"/>
  <c r="E9" i="4" s="1"/>
  <c r="C9" i="4"/>
  <c r="H7" i="10"/>
  <c r="C6" i="4"/>
  <c r="AB55" i="1"/>
  <c r="AB52" i="1"/>
  <c r="H9" i="10"/>
  <c r="H7" i="9"/>
  <c r="G13" i="9"/>
  <c r="AB4" i="1"/>
  <c r="AB28" i="1"/>
  <c r="AB54" i="1"/>
  <c r="AB49" i="1"/>
  <c r="G6" i="7"/>
  <c r="F6" i="7"/>
  <c r="F11" i="5"/>
  <c r="H11" i="5" s="1"/>
  <c r="G11" i="5"/>
  <c r="F12" i="5"/>
  <c r="H12" i="5" s="1"/>
  <c r="G6" i="6"/>
  <c r="F6" i="6"/>
  <c r="F7" i="6"/>
  <c r="F9" i="6"/>
  <c r="H9" i="6" s="1"/>
  <c r="F11" i="6"/>
  <c r="H11" i="6" s="1"/>
  <c r="G7" i="6"/>
  <c r="G9" i="6"/>
  <c r="G11" i="6"/>
  <c r="F8" i="6"/>
  <c r="F10" i="6"/>
  <c r="F12" i="6"/>
  <c r="H12" i="6" s="1"/>
  <c r="G8" i="6"/>
  <c r="G10" i="6"/>
  <c r="G12" i="6"/>
  <c r="G12" i="7"/>
  <c r="F12" i="7"/>
  <c r="D12" i="4" s="1"/>
  <c r="G8" i="7"/>
  <c r="F8" i="7"/>
  <c r="F9" i="7"/>
  <c r="G9" i="7"/>
  <c r="F10" i="7"/>
  <c r="G10" i="7"/>
  <c r="E10" i="4" s="1"/>
  <c r="G11" i="7"/>
  <c r="H11" i="7" s="1"/>
  <c r="F7" i="7"/>
  <c r="G7" i="7"/>
  <c r="G11" i="8"/>
  <c r="F11" i="8"/>
  <c r="H11" i="8" s="1"/>
  <c r="F12" i="8"/>
  <c r="G12" i="8"/>
  <c r="G6" i="8"/>
  <c r="F6" i="8"/>
  <c r="F7" i="8"/>
  <c r="G7" i="8"/>
  <c r="G8" i="8"/>
  <c r="F8" i="8"/>
  <c r="H8" i="8" s="1"/>
  <c r="G10" i="8"/>
  <c r="F10" i="8"/>
  <c r="F9" i="8"/>
  <c r="AB57" i="1" l="1"/>
  <c r="E12" i="4"/>
  <c r="E11" i="4"/>
  <c r="H10" i="6"/>
  <c r="H9" i="8"/>
  <c r="F9" i="4"/>
  <c r="E8" i="4"/>
  <c r="H8" i="6"/>
  <c r="D8" i="4"/>
  <c r="H13" i="9"/>
  <c r="D6" i="4"/>
  <c r="E6" i="4"/>
  <c r="F13" i="6"/>
  <c r="H7" i="6"/>
  <c r="H6" i="8"/>
  <c r="H10" i="8"/>
  <c r="H6" i="6"/>
  <c r="H8" i="7"/>
  <c r="H12" i="7"/>
  <c r="H7" i="7"/>
  <c r="H12" i="8"/>
  <c r="H10" i="7"/>
  <c r="H7" i="8"/>
  <c r="H9" i="7"/>
  <c r="F13" i="7"/>
  <c r="H6" i="7"/>
  <c r="E17" i="8" l="1"/>
  <c r="H17" i="8" s="1"/>
  <c r="E16" i="8"/>
  <c r="H16" i="8" l="1"/>
  <c r="C18" i="4"/>
  <c r="F12" i="4"/>
  <c r="B19" i="4" l="1"/>
  <c r="B19" i="5" l="1"/>
  <c r="D19" i="5" s="1"/>
  <c r="E13" i="8" l="1"/>
  <c r="F19" i="5"/>
  <c r="E19" i="5"/>
  <c r="G19" i="5" s="1"/>
  <c r="H15" i="6"/>
  <c r="H17" i="6"/>
  <c r="G13" i="8" l="1"/>
  <c r="H13" i="8" l="1"/>
  <c r="E10" i="5"/>
  <c r="E9" i="5"/>
  <c r="F9" i="5" s="1"/>
  <c r="E8" i="5"/>
  <c r="E7" i="5"/>
  <c r="F7" i="5" s="1"/>
  <c r="E6" i="5"/>
  <c r="F6" i="5" s="1"/>
  <c r="F10" i="5" l="1"/>
  <c r="E13" i="7"/>
  <c r="E13" i="6"/>
  <c r="F8" i="5"/>
  <c r="E14" i="5"/>
  <c r="F18" i="4"/>
  <c r="H16" i="7"/>
  <c r="H17" i="7"/>
  <c r="F19" i="4"/>
  <c r="G6" i="5"/>
  <c r="G7" i="5"/>
  <c r="G8" i="5"/>
  <c r="G9" i="5"/>
  <c r="G10" i="5"/>
  <c r="F14" i="5" l="1"/>
  <c r="G14" i="5"/>
  <c r="C13" i="4"/>
  <c r="H9" i="5"/>
  <c r="H10" i="5"/>
  <c r="H7" i="5"/>
  <c r="H6" i="5"/>
  <c r="H8" i="5"/>
  <c r="E13" i="4" l="1"/>
  <c r="E14" i="4" s="1"/>
  <c r="H14" i="5"/>
  <c r="F8" i="4"/>
  <c r="D13" i="4"/>
  <c r="D14" i="4" s="1"/>
  <c r="F7" i="4"/>
  <c r="F10" i="4"/>
  <c r="F11" i="4"/>
  <c r="F6" i="4"/>
  <c r="F13" i="4" l="1"/>
  <c r="G13" i="6"/>
  <c r="G13" i="7"/>
  <c r="H13" i="7" l="1"/>
  <c r="H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tc={B53DF2CB-AA38-4AF2-875F-F532C5684974}</author>
    <author>tc={64F421D5-55D1-4D0C-B7AF-5358F6363DE5}</author>
    <author>tc={1A698B56-52FF-49B7-B4B1-8CA632624C08}</author>
  </authors>
  <commentList>
    <comment ref="C17" authorId="0" shapeId="0" xr:uid="{B53DF2CB-AA38-4AF2-875F-F532C5684974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Rounded to whole number</t>
      </text>
    </comment>
    <comment ref="C20" authorId="1" shapeId="0" xr:uid="{64F421D5-55D1-4D0C-B7AF-5358F6363DE5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Rounded to whole number</t>
      </text>
    </comment>
    <comment ref="A64" authorId="2" shapeId="0" xr:uid="{1A698B56-52FF-49B7-B4B1-8CA632624C0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replacing the AQM Data personnel position, the salary here should be updated for the Regional EJ coordinator
Reply:
    Done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tc={C0F92DEC-729C-4118-9430-28C8138C28FA}</author>
    <author>tc={A36969F7-013F-4095-A346-32DF7689D746}</author>
    <author>tc={F5CA4CDE-D1CB-4F4E-9988-B43E35BF0058}</author>
    <author>tc={0497F81A-0C93-4E25-A692-021DEF473265}</author>
  </authors>
  <commentList>
    <comment ref="D7" authorId="0" shapeId="0" xr:uid="{C0F92DEC-729C-4118-9430-28C8138C28F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Removed FY25 fringe from salary calculation and replaced with FY25 salary </t>
      </text>
    </comment>
    <comment ref="E7" authorId="1" shapeId="0" xr:uid="{A36969F7-013F-4095-A346-32DF7689D746}">
      <text>
        <t>[Threaded comment]
Your version of Excel allows you to read this threaded comment; however, any edits to it will get removed if the file is opened in a newer version of Excel. Learn more: https://go.microsoft.com/fwlink/?linkid=870924
Comment:
    FY23 added twice</t>
      </text>
    </comment>
    <comment ref="D10" authorId="2" shapeId="0" xr:uid="{F5CA4CDE-D1CB-4F4E-9988-B43E35BF005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Added FY25 and 26 fringe and indirect costs </t>
      </text>
    </comment>
    <comment ref="D11" authorId="3" shapeId="0" xr:uid="{0497F81A-0C93-4E25-A692-021DEF47326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Added FY25 and 26 Fringe cost 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C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 xml:space="preserve">Checked against rates in place at 10/1/20 and updated salary that had decreased by $5,674 due to $46.29 rate in place
</t>
        </r>
      </text>
    </comment>
    <comment ref="C1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 xml:space="preserve">Increased by $800.00 due to $20.19 rate in place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C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 xml:space="preserve">Removed 2% raise and updated numbers based on 10/6/21 hourly rates sheet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C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Removed 2% raise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C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7" authorId="0" shapeId="0" xr:uid="{952A7590-DFBB-4F7B-B878-D933AF04DC7F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8" authorId="0" shapeId="0" xr:uid="{80082863-C491-4B50-9222-101EEE8451C1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9" authorId="0" shapeId="0" xr:uid="{4CB69690-D7B0-4957-AA76-B75D56D89D5F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10" authorId="0" shapeId="0" xr:uid="{0493D029-16D3-4B77-AC6D-97A9155D57D2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11" authorId="0" shapeId="0" xr:uid="{641A0DF0-B7CD-4C20-943F-AE38E8E65BD4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12" authorId="0" shapeId="0" xr:uid="{BB9CC8D8-061C-4A01-A000-B7E5A6472C5D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C6" authorId="0" shapeId="0" xr:uid="{9D5B205F-20DC-4A56-B97A-98260AC574D7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7" authorId="0" shapeId="0" xr:uid="{D4C7A570-299A-4EE5-89A9-2FB14630BFDE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8" authorId="0" shapeId="0" xr:uid="{9F928057-04B9-4B91-9D00-51B83AA06B36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9" authorId="0" shapeId="0" xr:uid="{2BC09E78-ECD8-4ABC-9286-5409127B7CE0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10" authorId="0" shapeId="0" xr:uid="{BF1F9AE6-E0F8-4EB4-967B-ECADDC4A975C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11" authorId="0" shapeId="0" xr:uid="{030C286D-3E2A-48AF-83AD-612FEDEF1C76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12" authorId="0" shapeId="0" xr:uid="{C716C30A-1AF8-4D33-B725-A58D162DE66A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VITA Program</author>
  </authors>
  <commentList>
    <comment ref="C6" authorId="0" shapeId="0" xr:uid="{5CAFC3D0-4980-4156-82DF-A2B85FD321FD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7" authorId="0" shapeId="0" xr:uid="{FCFC0427-385A-4D8D-909A-A42679F09EF9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8" authorId="0" shapeId="0" xr:uid="{E5741505-E955-488C-A67F-70DC6FAB8D73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9" authorId="0" shapeId="0" xr:uid="{F8A0BA85-DD11-4BB6-89D2-692534ACA680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10" authorId="0" shapeId="0" xr:uid="{5F7A8684-1042-4A45-9DFC-EF44143A1E1C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11" authorId="0" shapeId="0" xr:uid="{FF1A06B3-DEA1-4AA1-9DCC-3382C85D0472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  <comment ref="C12" authorId="0" shapeId="0" xr:uid="{4978E1FF-7185-48FA-BD22-DE78400B7C21}">
      <text>
        <r>
          <rPr>
            <b/>
            <sz val="9"/>
            <color indexed="81"/>
            <rFont val="Tahoma"/>
            <family val="2"/>
          </rPr>
          <t xml:space="preserve">KP: </t>
        </r>
        <r>
          <rPr>
            <sz val="9"/>
            <color indexed="81"/>
            <rFont val="Tahoma"/>
            <family val="2"/>
          </rPr>
          <t>Added 2% raise</t>
        </r>
      </text>
    </comment>
  </commentList>
</comments>
</file>

<file path=xl/sharedStrings.xml><?xml version="1.0" encoding="utf-8"?>
<sst xmlns="http://schemas.openxmlformats.org/spreadsheetml/2006/main" count="313" uniqueCount="114">
  <si>
    <t>Construction and Set-up Costs</t>
  </si>
  <si>
    <t>2 Trailer Repair and Preparation ($3500 ea. to support the T640’s)</t>
  </si>
  <si>
    <t>Miscellaneous (fencing, ground preparation, etc.)</t>
  </si>
  <si>
    <t>Total</t>
  </si>
  <si>
    <t>Equipment</t>
  </si>
  <si>
    <t>2 T640X PM10/PM2.5 continuous samplers ($37,000 ea.)</t>
  </si>
  <si>
    <t>2 8872 data loggers ($8400 each)</t>
  </si>
  <si>
    <t>Supply</t>
  </si>
  <si>
    <t>Calibration/Audit supplies (T640)</t>
  </si>
  <si>
    <t>4 Flow Check Verification Hardware ($1635 ea.)</t>
  </si>
  <si>
    <t>Field Temperature and measurement Hardware</t>
  </si>
  <si>
    <t>Filters ($1880 per box)</t>
  </si>
  <si>
    <t>PM10/TSP motors ($140 ea.)</t>
  </si>
  <si>
    <t>Cabling, brushes, electrical supplies</t>
  </si>
  <si>
    <t>Assorted supplies - Gloves, tools lawn products, etc</t>
  </si>
  <si>
    <t>Contractual</t>
  </si>
  <si>
    <t>Electrical Operating Costs Total</t>
  </si>
  <si>
    <t>Sample Analysis Costs</t>
  </si>
  <si>
    <t>Other Expenditures</t>
  </si>
  <si>
    <t>Publication and distribution of quarterly information</t>
  </si>
  <si>
    <t>Property rental for monitor siting</t>
  </si>
  <si>
    <t>Local approvals and zoning compliance reviews</t>
  </si>
  <si>
    <t>Site improvements</t>
  </si>
  <si>
    <t>Utility Connections</t>
  </si>
  <si>
    <t>Monthly Cell Charges</t>
  </si>
  <si>
    <t>postage/courier</t>
  </si>
  <si>
    <t>Personnel</t>
  </si>
  <si>
    <t>Salary</t>
  </si>
  <si>
    <t>Fringe</t>
  </si>
  <si>
    <t>Indirect</t>
  </si>
  <si>
    <t>Regional Operator</t>
  </si>
  <si>
    <t>AQM monitoring specialists</t>
  </si>
  <si>
    <t>AQM Data personnel</t>
  </si>
  <si>
    <t>DCLS Lab Support help</t>
  </si>
  <si>
    <t>AQM Weighing Lab Support</t>
  </si>
  <si>
    <t>AQM Management Support</t>
  </si>
  <si>
    <t>VDH Health Assessment Support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</si>
  <si>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</si>
  <si>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</si>
  <si>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</si>
  <si>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</si>
  <si>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</si>
  <si>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</si>
  <si>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</si>
  <si>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</si>
  <si>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</si>
  <si>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</si>
  <si>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</si>
  <si>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</si>
  <si>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Totals</t>
  </si>
  <si>
    <t>Microscopic upgrade</t>
  </si>
  <si>
    <t>Operator</t>
  </si>
  <si>
    <t>AQM monitoring specialist</t>
  </si>
  <si>
    <t>Travel</t>
  </si>
  <si>
    <t>Travel to Newport News, Norfolk siting and installation</t>
  </si>
  <si>
    <t>Maintenance and repair travel</t>
  </si>
  <si>
    <t>Travel to pick up and install filters</t>
  </si>
  <si>
    <t>hours</t>
  </si>
  <si>
    <t>salary</t>
  </si>
  <si>
    <t>fringe</t>
  </si>
  <si>
    <t>total</t>
  </si>
  <si>
    <t>AQM Microscopist</t>
  </si>
  <si>
    <t>P4053</t>
  </si>
  <si>
    <t>P4104</t>
  </si>
  <si>
    <t>P0711</t>
  </si>
  <si>
    <t>P0761</t>
  </si>
  <si>
    <t>P0785</t>
  </si>
  <si>
    <t>P4350</t>
  </si>
  <si>
    <t>$53/hr</t>
  </si>
  <si>
    <t>Public Meetings (8 meetings @ $100 rental)</t>
  </si>
  <si>
    <t>Travel to 8 public meetings</t>
  </si>
  <si>
    <t>14 back up digital timers ($800 ea.)</t>
  </si>
  <si>
    <t>Printed and online communications</t>
  </si>
  <si>
    <t>Q13</t>
  </si>
  <si>
    <t>Q14</t>
  </si>
  <si>
    <t>Q15</t>
  </si>
  <si>
    <t>AQM procurement Support</t>
  </si>
  <si>
    <t>P4290</t>
  </si>
  <si>
    <t>AQM Procurement Support</t>
  </si>
  <si>
    <t>6 Router/Modems ($950)</t>
  </si>
  <si>
    <t>Sensor budget (approx. 12 at no more than $3000 ea.)</t>
  </si>
  <si>
    <t>16 Power installations (Where necessary @ $2,200.00 ea.)</t>
  </si>
  <si>
    <t>4 TSP samplers ($6500 ea.)</t>
  </si>
  <si>
    <t>Q16</t>
  </si>
  <si>
    <t>Public Meetings (1 meeting/6 months)</t>
  </si>
  <si>
    <t>Travel to public meetings</t>
  </si>
  <si>
    <t>Q17</t>
  </si>
  <si>
    <t>Q18</t>
  </si>
  <si>
    <t>Q19</t>
  </si>
  <si>
    <t>Q20</t>
  </si>
  <si>
    <t>Q21</t>
  </si>
  <si>
    <t>Q22</t>
  </si>
  <si>
    <t>Q23</t>
  </si>
  <si>
    <t>Q24</t>
  </si>
  <si>
    <t>9 Power installations (Where necessary @ $4,600 ea.)</t>
  </si>
  <si>
    <t>Regional EJ Specialist</t>
  </si>
  <si>
    <t>4 TSP samplers ($6,500 ea.)</t>
  </si>
  <si>
    <t>P0807</t>
  </si>
  <si>
    <t>P0732</t>
  </si>
  <si>
    <t>P6028</t>
  </si>
  <si>
    <t>P0785?</t>
  </si>
  <si>
    <t>2 Trailer Repair and Preparation ($2,500 ea. to support the T640’s)</t>
  </si>
  <si>
    <t>2 8872 data loggers ($8,400 each)</t>
  </si>
  <si>
    <t>Sensor budget (Purple Air Sensors)</t>
  </si>
  <si>
    <t>2 T640X PM10/PM2.5 continuous samplers</t>
  </si>
  <si>
    <t>Regional Outreach Coordinator</t>
  </si>
  <si>
    <t>AQM Weighing Lab Support/data support</t>
  </si>
  <si>
    <t>AQM weighing lab support/Data personnel</t>
  </si>
  <si>
    <t>AQM microscopist</t>
  </si>
  <si>
    <t>AQM Weighing Lab Support/data personnel</t>
  </si>
  <si>
    <t>Grand Total</t>
  </si>
  <si>
    <t>Personnel Cost Breakdown</t>
  </si>
  <si>
    <t>Total hours</t>
  </si>
  <si>
    <t>4 Flow Check Verification Hardware ($1,760 ea.)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</si>
</sst>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ahoma"/>
      <family val="2"/>
    </font>
    <font>
      <sz val="11"/>
      <color rgb="FF000000"/>
      <name val="Calibri"/>
      <family val="2"/>
    </font>
    <font>
      <b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ahoma"/>
      <family val="2"/>
    </font>
    <font>
      <b/>
      <u/>
      <sz val="10"/>
      <color theme="1"/>
      <name val="Tahoma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11"/>
      <color theme="0" tint="-0.1499679555650502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9" tint="-0.249977111117893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 tint="-0.14996795556505021"/>
      <name val="Calibri"/>
      <family val="2"/>
      <scheme val="minor"/>
    </font>
    <font>
      <sz val="10"/>
      <color theme="9" tint="-0.249977111117893"/>
      <name val="Tahom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30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164" fontId="0" fillId="0" borderId="0" xfId="0" applyNumberForma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4" fontId="7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 wrapText="1"/>
    </xf>
    <xf numFmtId="8" fontId="3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8" fontId="12" fillId="2" borderId="0" xfId="0" applyNumberFormat="1" applyFont="1" applyFill="1" applyAlignment="1">
      <alignment horizontal="right" vertical="center" wrapText="1"/>
    </xf>
    <xf numFmtId="165" fontId="0" fillId="0" borderId="0" xfId="0" applyNumberFormat="1"/>
    <xf numFmtId="16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wrapText="1"/>
    </xf>
    <xf numFmtId="8" fontId="13" fillId="0" borderId="0" xfId="0" applyNumberFormat="1" applyFont="1"/>
    <xf numFmtId="0" fontId="13" fillId="0" borderId="0" xfId="0" applyFont="1"/>
    <xf numFmtId="4" fontId="14" fillId="3" borderId="0" xfId="0" applyNumberFormat="1" applyFont="1" applyFill="1" applyAlignment="1">
      <alignment horizontal="center"/>
    </xf>
    <xf numFmtId="0" fontId="15" fillId="0" borderId="0" xfId="0" applyFont="1"/>
    <xf numFmtId="4" fontId="15" fillId="3" borderId="0" xfId="0" applyNumberFormat="1" applyFont="1" applyFill="1" applyAlignment="1">
      <alignment horizontal="center"/>
    </xf>
    <xf numFmtId="4" fontId="15" fillId="3" borderId="0" xfId="0" applyNumberFormat="1" applyFont="1" applyFill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3" fontId="10" fillId="7" borderId="0" xfId="0" applyNumberFormat="1" applyFont="1" applyFill="1" applyAlignment="1">
      <alignment horizontal="center" wrapText="1"/>
    </xf>
    <xf numFmtId="3" fontId="9" fillId="7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6" fontId="10" fillId="7" borderId="0" xfId="0" applyNumberFormat="1" applyFont="1" applyFill="1" applyAlignment="1">
      <alignment horizontal="right" vertical="center" wrapText="1"/>
    </xf>
    <xf numFmtId="0" fontId="19" fillId="0" borderId="0" xfId="0" applyFont="1"/>
    <xf numFmtId="8" fontId="19" fillId="0" borderId="0" xfId="0" applyNumberFormat="1" applyFont="1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6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8" fontId="21" fillId="0" borderId="0" xfId="0" applyNumberFormat="1" applyFont="1" applyAlignment="1">
      <alignment vertical="center"/>
    </xf>
    <xf numFmtId="8" fontId="21" fillId="0" borderId="2" xfId="0" applyNumberFormat="1" applyFont="1" applyBorder="1" applyAlignment="1">
      <alignment vertical="center"/>
    </xf>
    <xf numFmtId="8" fontId="24" fillId="0" borderId="0" xfId="0" applyNumberFormat="1" applyFont="1" applyAlignment="1">
      <alignment vertical="center"/>
    </xf>
    <xf numFmtId="8" fontId="24" fillId="0" borderId="0" xfId="0" applyNumberFormat="1" applyFont="1" applyAlignment="1">
      <alignment horizontal="right" vertical="center"/>
    </xf>
    <xf numFmtId="8" fontId="24" fillId="0" borderId="0" xfId="0" applyNumberFormat="1" applyFont="1" applyAlignment="1">
      <alignment horizontal="justify" vertical="center"/>
    </xf>
    <xf numFmtId="4" fontId="21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" fontId="15" fillId="0" borderId="0" xfId="0" applyNumberFormat="1" applyFont="1" applyAlignment="1">
      <alignment horizontal="center" vertical="center" wrapText="1"/>
    </xf>
    <xf numFmtId="0" fontId="15" fillId="9" borderId="0" xfId="0" applyFont="1" applyFill="1" applyAlignment="1">
      <alignment vertical="center" wrapText="1"/>
    </xf>
    <xf numFmtId="2" fontId="15" fillId="0" borderId="0" xfId="0" applyNumberFormat="1" applyFont="1" applyAlignment="1">
      <alignment horizontal="center" vertical="center" wrapText="1"/>
    </xf>
    <xf numFmtId="4" fontId="26" fillId="0" borderId="0" xfId="0" applyNumberFormat="1" applyFont="1" applyAlignment="1">
      <alignment horizontal="center" vertical="center" wrapText="1"/>
    </xf>
    <xf numFmtId="0" fontId="19" fillId="8" borderId="0" xfId="0" applyFont="1" applyFill="1"/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3" fontId="19" fillId="7" borderId="0" xfId="0" applyNumberFormat="1" applyFont="1" applyFill="1" applyAlignment="1">
      <alignment horizontal="center" wrapText="1"/>
    </xf>
    <xf numFmtId="0" fontId="0" fillId="7" borderId="0" xfId="0" applyFill="1" applyAlignment="1">
      <alignment horizontal="center"/>
    </xf>
    <xf numFmtId="0" fontId="27" fillId="2" borderId="0" xfId="0" applyFont="1" applyFill="1" applyAlignment="1">
      <alignment horizontal="left" vertical="center" wrapText="1"/>
    </xf>
    <xf numFmtId="3" fontId="0" fillId="0" borderId="0" xfId="0" applyNumberFormat="1" applyAlignment="1">
      <alignment horizontal="center" wrapText="1"/>
    </xf>
    <xf numFmtId="3" fontId="19" fillId="8" borderId="0" xfId="0" applyNumberFormat="1" applyFont="1" applyFill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4" fontId="15" fillId="0" borderId="0" xfId="0" applyNumberFormat="1" applyFont="1"/>
    <xf numFmtId="8" fontId="15" fillId="0" borderId="0" xfId="0" applyNumberFormat="1" applyFont="1"/>
    <xf numFmtId="0" fontId="24" fillId="0" borderId="0" xfId="0" applyFont="1" applyAlignment="1">
      <alignment horizontal="right" vertical="center" wrapText="1"/>
    </xf>
    <xf numFmtId="8" fontId="19" fillId="0" borderId="0" xfId="0" applyNumberFormat="1" applyFont="1" applyAlignment="1">
      <alignment vertical="center"/>
    </xf>
    <xf numFmtId="4" fontId="21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/>
    </xf>
    <xf numFmtId="4" fontId="0" fillId="3" borderId="1" xfId="0" applyNumberFormat="1" applyFill="1" applyBorder="1"/>
    <xf numFmtId="4" fontId="0" fillId="3" borderId="0" xfId="0" applyNumberFormat="1" applyFill="1"/>
    <xf numFmtId="4" fontId="0" fillId="4" borderId="0" xfId="0" applyNumberFormat="1" applyFill="1"/>
    <xf numFmtId="8" fontId="0" fillId="0" borderId="0" xfId="0" applyNumberFormat="1"/>
    <xf numFmtId="4" fontId="20" fillId="3" borderId="1" xfId="0" applyNumberFormat="1" applyFont="1" applyFill="1" applyBorder="1" applyAlignment="1">
      <alignment vertical="center"/>
    </xf>
    <xf numFmtId="4" fontId="20" fillId="3" borderId="0" xfId="0" applyNumberFormat="1" applyFont="1" applyFill="1" applyAlignment="1">
      <alignment vertical="center"/>
    </xf>
    <xf numFmtId="4" fontId="0" fillId="4" borderId="0" xfId="0" applyNumberFormat="1" applyFill="1" applyAlignment="1">
      <alignment vertical="center"/>
    </xf>
    <xf numFmtId="4" fontId="21" fillId="3" borderId="1" xfId="0" applyNumberFormat="1" applyFont="1" applyFill="1" applyBorder="1" applyAlignment="1">
      <alignment vertical="center"/>
    </xf>
    <xf numFmtId="4" fontId="21" fillId="3" borderId="0" xfId="0" applyNumberFormat="1" applyFont="1" applyFill="1" applyAlignment="1">
      <alignment vertical="center"/>
    </xf>
    <xf numFmtId="4" fontId="21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4" fontId="24" fillId="3" borderId="1" xfId="0" applyNumberFormat="1" applyFont="1" applyFill="1" applyBorder="1" applyAlignment="1">
      <alignment horizontal="right" vertical="center"/>
    </xf>
    <xf numFmtId="4" fontId="24" fillId="3" borderId="0" xfId="0" applyNumberFormat="1" applyFont="1" applyFill="1" applyAlignment="1">
      <alignment horizontal="right" vertical="center"/>
    </xf>
    <xf numFmtId="4" fontId="21" fillId="4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4" fontId="24" fillId="3" borderId="0" xfId="0" applyNumberFormat="1" applyFont="1" applyFill="1" applyAlignment="1">
      <alignment vertical="center"/>
    </xf>
    <xf numFmtId="4" fontId="24" fillId="0" borderId="0" xfId="0" applyNumberFormat="1" applyFont="1" applyAlignment="1">
      <alignment vertical="center"/>
    </xf>
    <xf numFmtId="4" fontId="0" fillId="5" borderId="0" xfId="0" applyNumberFormat="1" applyFill="1"/>
    <xf numFmtId="4" fontId="0" fillId="6" borderId="0" xfId="0" applyNumberFormat="1" applyFill="1"/>
    <xf numFmtId="8" fontId="21" fillId="3" borderId="0" xfId="0" applyNumberFormat="1" applyFont="1" applyFill="1" applyAlignment="1">
      <alignment vertical="center"/>
    </xf>
    <xf numFmtId="4" fontId="24" fillId="0" borderId="0" xfId="0" applyNumberFormat="1" applyFont="1" applyAlignment="1">
      <alignment horizontal="justify" vertical="center"/>
    </xf>
    <xf numFmtId="4" fontId="24" fillId="4" borderId="0" xfId="0" applyNumberFormat="1" applyFont="1" applyFill="1" applyAlignment="1">
      <alignment horizontal="justify" vertical="center"/>
    </xf>
    <xf numFmtId="4" fontId="21" fillId="3" borderId="0" xfId="0" applyNumberFormat="1" applyFont="1" applyFill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4" fontId="21" fillId="4" borderId="0" xfId="0" applyNumberFormat="1" applyFont="1" applyFill="1" applyAlignment="1">
      <alignment horizontal="justify" vertical="center"/>
    </xf>
    <xf numFmtId="4" fontId="21" fillId="0" borderId="0" xfId="0" applyNumberFormat="1" applyFont="1" applyAlignment="1">
      <alignment horizontal="justify" vertical="center"/>
    </xf>
    <xf numFmtId="4" fontId="21" fillId="4" borderId="0" xfId="0" applyNumberFormat="1" applyFont="1" applyFill="1" applyAlignment="1">
      <alignment horizontal="right" vertical="center"/>
    </xf>
    <xf numFmtId="4" fontId="21" fillId="3" borderId="0" xfId="0" applyNumberFormat="1" applyFont="1" applyFill="1" applyAlignment="1">
      <alignment horizontal="center" vertical="center"/>
    </xf>
    <xf numFmtId="3" fontId="0" fillId="0" borderId="0" xfId="0" applyNumberFormat="1"/>
    <xf numFmtId="4" fontId="21" fillId="0" borderId="0" xfId="0" applyNumberFormat="1" applyFont="1" applyAlignment="1">
      <alignment horizontal="right"/>
    </xf>
    <xf numFmtId="4" fontId="21" fillId="3" borderId="0" xfId="0" applyNumberFormat="1" applyFont="1" applyFill="1" applyAlignment="1">
      <alignment horizontal="right"/>
    </xf>
    <xf numFmtId="4" fontId="2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4" fontId="23" fillId="3" borderId="0" xfId="0" applyNumberFormat="1" applyFont="1" applyFill="1" applyAlignment="1">
      <alignment horizontal="center" vertical="center" wrapText="1"/>
    </xf>
    <xf numFmtId="165" fontId="19" fillId="0" borderId="0" xfId="0" applyNumberFormat="1" applyFont="1" applyAlignment="1">
      <alignment vertical="center" wrapText="1"/>
    </xf>
    <xf numFmtId="165" fontId="19" fillId="0" borderId="0" xfId="0" applyNumberFormat="1" applyFont="1"/>
    <xf numFmtId="165" fontId="29" fillId="0" borderId="0" xfId="0" applyNumberFormat="1" applyFont="1" applyAlignment="1">
      <alignment vertical="center" wrapText="1"/>
    </xf>
    <xf numFmtId="165" fontId="19" fillId="0" borderId="0" xfId="0" applyNumberFormat="1" applyFont="1" applyAlignment="1">
      <alignment vertical="center" wrapText="1"/>
    </xf>
    <xf numFmtId="4" fontId="6" fillId="10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3" fontId="15" fillId="10" borderId="0" xfId="0" applyNumberFormat="1" applyFont="1" applyFill="1" applyAlignment="1">
      <alignment horizontal="right"/>
    </xf>
    <xf numFmtId="8" fontId="21" fillId="10" borderId="0" xfId="0" applyNumberFormat="1" applyFont="1" applyFill="1" applyAlignment="1">
      <alignment vertical="center"/>
    </xf>
    <xf numFmtId="165" fontId="5" fillId="10" borderId="0" xfId="0" applyNumberFormat="1" applyFont="1" applyFill="1"/>
    <xf numFmtId="165" fontId="24" fillId="10" borderId="0" xfId="0" applyNumberFormat="1" applyFont="1" applyFill="1" applyAlignment="1">
      <alignment vertical="center"/>
    </xf>
    <xf numFmtId="10" fontId="15" fillId="0" borderId="0" xfId="1" applyNumberFormat="1" applyFont="1"/>
    <xf numFmtId="9" fontId="19" fillId="0" borderId="0" xfId="1" applyNumberFormat="1" applyFont="1"/>
    <xf numFmtId="166" fontId="19" fillId="0" borderId="0" xfId="1" applyNumberFormat="1" applyFont="1"/>
    <xf numFmtId="4" fontId="19" fillId="0" borderId="0" xfId="0" applyNumberFormat="1" applyFont="1"/>
    <xf numFmtId="6" fontId="0" fillId="0" borderId="0" xfId="0" applyNumberFormat="1" applyFont="1"/>
    <xf numFmtId="4" fontId="0" fillId="3" borderId="0" xfId="0" applyNumberFormat="1" applyFont="1" applyFill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4" borderId="0" xfId="0" applyNumberFormat="1" applyFont="1" applyFill="1" applyAlignment="1">
      <alignment horizontal="center"/>
    </xf>
    <xf numFmtId="0" fontId="0" fillId="0" borderId="0" xfId="0" applyFont="1"/>
    <xf numFmtId="4" fontId="0" fillId="3" borderId="1" xfId="0" applyNumberFormat="1" applyFont="1" applyFill="1" applyBorder="1"/>
    <xf numFmtId="4" fontId="0" fillId="3" borderId="0" xfId="0" applyNumberFormat="1" applyFont="1" applyFill="1"/>
    <xf numFmtId="4" fontId="0" fillId="0" borderId="0" xfId="0" applyNumberFormat="1" applyFont="1"/>
    <xf numFmtId="4" fontId="0" fillId="4" borderId="0" xfId="0" applyNumberFormat="1" applyFont="1" applyFill="1"/>
    <xf numFmtId="4" fontId="15" fillId="0" borderId="0" xfId="0" applyNumberFormat="1" applyFont="1" applyAlignment="1">
      <alignment horizontal="center" vertical="center"/>
    </xf>
    <xf numFmtId="164" fontId="0" fillId="0" borderId="0" xfId="0" applyNumberFormat="1" applyFont="1"/>
    <xf numFmtId="165" fontId="0" fillId="0" borderId="0" xfId="0" applyNumberFormat="1" applyFont="1"/>
    <xf numFmtId="4" fontId="15" fillId="3" borderId="0" xfId="0" applyNumberFormat="1" applyFont="1" applyFill="1" applyAlignment="1">
      <alignment horizontal="center" vertical="center"/>
    </xf>
    <xf numFmtId="4" fontId="15" fillId="10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DD7E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Sources%20and%20Special%20Studies/CSATMAG%202020/Workplan/revised%20budget/Budget%20Milestones%20CSATAMG%202020%209282021%20rev%20final%20to%20Michelle(2)%20KP%2010-29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calcs"/>
      <sheetName val="development"/>
      <sheetName val="xfer to format"/>
      <sheetName val="Personnel overall"/>
      <sheetName val="Personnel 2021"/>
      <sheetName val="Personnel 2022"/>
      <sheetName val="Personnel 2023"/>
      <sheetName val="Personnel 2024"/>
    </sheetNames>
    <sheetDataSet>
      <sheetData sheetId="0"/>
      <sheetData sheetId="1"/>
      <sheetData sheetId="2"/>
      <sheetData sheetId="3"/>
      <sheetData sheetId="4">
        <row r="6">
          <cell r="C6">
            <v>42016</v>
          </cell>
        </row>
      </sheetData>
      <sheetData sheetId="5">
        <row r="6">
          <cell r="C6">
            <v>42016</v>
          </cell>
        </row>
        <row r="7">
          <cell r="C7">
            <v>68473.600000000006</v>
          </cell>
        </row>
        <row r="8">
          <cell r="C8">
            <v>81411.199999999997</v>
          </cell>
        </row>
        <row r="9">
          <cell r="C9">
            <v>84094.399999999994</v>
          </cell>
        </row>
        <row r="10">
          <cell r="C10">
            <v>72737.599999999991</v>
          </cell>
        </row>
        <row r="11">
          <cell r="C11">
            <v>101088</v>
          </cell>
        </row>
        <row r="12">
          <cell r="C12">
            <v>41995.200000000004</v>
          </cell>
        </row>
      </sheetData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orter, Kristen (DEQ)" id="{5D23E5A6-6900-4527-BEA2-1E0B9BB07F24}" userId="S::Kristen.Porter@deq.virginia.gov::0a49c164-eed9-4b32-8c44-f73695ea18c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7" dT="2023-11-17T14:18:48.60" personId="{5D23E5A6-6900-4527-BEA2-1E0B9BB07F24}" id="{B53DF2CB-AA38-4AF2-875F-F532C5684974}">
    <text>Rounded to whole number</text>
  </threadedComment>
  <threadedComment ref="C20" dT="2023-11-17T14:19:04.83" personId="{5D23E5A6-6900-4527-BEA2-1E0B9BB07F24}" id="{64F421D5-55D1-4D0C-B7AF-5358F6363DE5}">
    <text>Rounded to whole number</text>
  </threadedComment>
  <threadedComment ref="A64" dT="2023-09-15T18:15:09.77" personId="{5D23E5A6-6900-4527-BEA2-1E0B9BB07F24}" id="{1A698B56-52FF-49B7-B4B1-8CA632624C08}">
    <text>This is replacing the AQM Data personnel position, the salary here should be updated for the Regional EJ coordinator</text>
  </threadedComment>
  <threadedComment ref="A64" dT="2023-11-17T14:04:46.36" personId="{5D23E5A6-6900-4527-BEA2-1E0B9BB07F24}" id="{F03AE1F8-44AA-40DF-8B8B-70FD12CD1ACC}" parentId="{1A698B56-52FF-49B7-B4B1-8CA632624C08}">
    <text>Done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" dT="2023-11-17T14:50:51.93" personId="{5D23E5A6-6900-4527-BEA2-1E0B9BB07F24}" id="{C0F92DEC-729C-4118-9430-28C8138C28FA}">
    <text xml:space="preserve">Removed FY25 fringe from salary calculation and replaced with FY25 salary </text>
  </threadedComment>
  <threadedComment ref="E7" dT="2023-11-17T14:49:50.39" personId="{5D23E5A6-6900-4527-BEA2-1E0B9BB07F24}" id="{A36969F7-013F-4095-A346-32DF7689D746}">
    <text>FY23 added twice</text>
  </threadedComment>
  <threadedComment ref="D10" dT="2023-11-17T13:49:54.29" personId="{5D23E5A6-6900-4527-BEA2-1E0B9BB07F24}" id="{F5CA4CDE-D1CB-4F4E-9988-B43E35BF0058}">
    <text xml:space="preserve">Added FY25 and 26 fringe and indirect costs </text>
  </threadedComment>
  <threadedComment ref="D11" dT="2023-11-17T13:51:38.13" personId="{5D23E5A6-6900-4527-BEA2-1E0B9BB07F24}" id="{0497F81A-0C93-4E25-A692-021DEF473265}">
    <text xml:space="preserve">Added FY25 and 26 Fringe cost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0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58" sqref="C58"/>
    </sheetView>
  </sheetViews>
  <sheetFormatPr defaultRowHeight="14.4" x14ac:dyDescent="0.3"/>
  <cols>
    <col min="1" max="1" width="46.5546875" customWidth="1"/>
    <col min="2" max="2" width="13" bestFit="1" customWidth="1"/>
    <col min="3" max="3" width="18.109375" customWidth="1"/>
    <col min="4" max="4" width="10.44140625" style="88" customWidth="1"/>
    <col min="5" max="5" width="10.88671875" style="88" customWidth="1"/>
    <col min="6" max="6" width="11.33203125" style="88" customWidth="1"/>
    <col min="7" max="7" width="10.109375" style="88" bestFit="1" customWidth="1"/>
    <col min="8" max="8" width="11.88671875" style="4" customWidth="1"/>
    <col min="9" max="9" width="13.109375" style="4" customWidth="1"/>
    <col min="10" max="10" width="11.109375" style="4" bestFit="1" customWidth="1"/>
    <col min="11" max="11" width="11.5546875" style="4" customWidth="1"/>
    <col min="12" max="12" width="10.44140625" style="89" customWidth="1"/>
    <col min="13" max="13" width="10.33203125" style="89" customWidth="1"/>
    <col min="14" max="14" width="13.88671875" style="89" customWidth="1"/>
    <col min="15" max="15" width="10.109375" style="89" bestFit="1" customWidth="1"/>
    <col min="16" max="26" width="10.109375" style="4" customWidth="1"/>
    <col min="27" max="27" width="11.33203125" style="4" customWidth="1"/>
    <col min="28" max="28" width="11.109375" customWidth="1"/>
    <col min="29" max="29" width="11.44140625" customWidth="1"/>
    <col min="30" max="30" width="11" bestFit="1" customWidth="1"/>
  </cols>
  <sheetData>
    <row r="1" spans="1:29" x14ac:dyDescent="0.3">
      <c r="A1" s="49" t="s">
        <v>0</v>
      </c>
      <c r="B1" s="47"/>
      <c r="C1" s="135">
        <v>526603</v>
      </c>
      <c r="D1" s="136" t="s">
        <v>37</v>
      </c>
      <c r="E1" s="136" t="s">
        <v>38</v>
      </c>
      <c r="F1" s="136" t="s">
        <v>39</v>
      </c>
      <c r="G1" s="136" t="s">
        <v>40</v>
      </c>
      <c r="H1" s="137" t="s">
        <v>41</v>
      </c>
      <c r="I1" s="137" t="s">
        <v>42</v>
      </c>
      <c r="J1" s="137" t="s">
        <v>43</v>
      </c>
      <c r="K1" s="137" t="s">
        <v>44</v>
      </c>
      <c r="L1" s="138" t="s">
        <v>45</v>
      </c>
      <c r="M1" s="138" t="s">
        <v>46</v>
      </c>
      <c r="N1" s="138" t="s">
        <v>47</v>
      </c>
      <c r="O1" s="138" t="s">
        <v>48</v>
      </c>
      <c r="P1" s="137" t="s">
        <v>73</v>
      </c>
      <c r="Q1" s="137" t="s">
        <v>74</v>
      </c>
      <c r="R1" s="137" t="s">
        <v>75</v>
      </c>
      <c r="S1" s="137" t="s">
        <v>83</v>
      </c>
      <c r="T1" s="137" t="s">
        <v>86</v>
      </c>
      <c r="U1" s="137" t="s">
        <v>87</v>
      </c>
      <c r="V1" s="137" t="s">
        <v>88</v>
      </c>
      <c r="W1" s="137" t="s">
        <v>89</v>
      </c>
      <c r="X1" s="137" t="s">
        <v>90</v>
      </c>
      <c r="Y1" s="137" t="s">
        <v>91</v>
      </c>
      <c r="Z1" s="137" t="s">
        <v>92</v>
      </c>
      <c r="AA1" s="137" t="s">
        <v>93</v>
      </c>
      <c r="AB1" s="137" t="s">
        <v>49</v>
      </c>
    </row>
    <row r="2" spans="1:29" x14ac:dyDescent="0.3">
      <c r="A2" s="51" t="s">
        <v>101</v>
      </c>
      <c r="B2" s="139"/>
      <c r="C2" s="58">
        <v>5000</v>
      </c>
      <c r="D2" s="140"/>
      <c r="E2" s="141">
        <v>5000</v>
      </c>
      <c r="F2" s="141"/>
      <c r="G2" s="141"/>
      <c r="H2" s="142"/>
      <c r="I2" s="142"/>
      <c r="J2" s="142"/>
      <c r="K2" s="142"/>
      <c r="L2" s="143"/>
      <c r="M2" s="143"/>
      <c r="N2" s="143"/>
      <c r="O2" s="143"/>
      <c r="P2" s="142"/>
      <c r="Q2" s="142"/>
      <c r="R2" s="142"/>
      <c r="S2" s="142"/>
      <c r="T2" s="141"/>
      <c r="U2" s="141"/>
      <c r="V2" s="141"/>
      <c r="W2" s="141"/>
      <c r="X2" s="142"/>
      <c r="Y2" s="142"/>
      <c r="Z2" s="142"/>
      <c r="AA2" s="142"/>
      <c r="AB2" s="142">
        <f t="shared" ref="AB2:AB29" si="0">SUM(D2:AA2)</f>
        <v>5000</v>
      </c>
      <c r="AC2" s="4"/>
    </row>
    <row r="3" spans="1:29" x14ac:dyDescent="0.3">
      <c r="A3" s="52" t="s">
        <v>94</v>
      </c>
      <c r="B3" s="48"/>
      <c r="C3" s="59">
        <f>9*4600</f>
        <v>41400</v>
      </c>
      <c r="D3" s="141"/>
      <c r="E3" s="141"/>
      <c r="F3" s="141"/>
      <c r="G3" s="141"/>
      <c r="H3" s="142"/>
      <c r="I3" s="142"/>
      <c r="J3" s="142"/>
      <c r="K3" s="142"/>
      <c r="L3" s="143"/>
      <c r="M3" s="143"/>
      <c r="N3" s="143">
        <f>$C3*0.5</f>
        <v>20700</v>
      </c>
      <c r="O3" s="143">
        <f>$C3*0.5</f>
        <v>20700</v>
      </c>
      <c r="P3" s="142"/>
      <c r="Q3" s="142"/>
      <c r="R3" s="142"/>
      <c r="S3" s="142"/>
      <c r="T3" s="141"/>
      <c r="U3" s="141"/>
      <c r="V3" s="141"/>
      <c r="W3" s="141"/>
      <c r="X3" s="142"/>
      <c r="Y3" s="142"/>
      <c r="Z3" s="142"/>
      <c r="AA3" s="142"/>
      <c r="AB3" s="142">
        <f t="shared" si="0"/>
        <v>41400</v>
      </c>
      <c r="AC3" s="4"/>
    </row>
    <row r="4" spans="1:29" x14ac:dyDescent="0.3">
      <c r="A4" s="52" t="s">
        <v>2</v>
      </c>
      <c r="B4" s="48"/>
      <c r="C4" s="59">
        <f>9*2500</f>
        <v>22500</v>
      </c>
      <c r="D4" s="141"/>
      <c r="E4" s="141"/>
      <c r="F4" s="141"/>
      <c r="G4" s="141"/>
      <c r="H4" s="142"/>
      <c r="I4" s="142"/>
      <c r="J4" s="142"/>
      <c r="K4" s="142"/>
      <c r="L4" s="143"/>
      <c r="M4" s="143"/>
      <c r="N4" s="143">
        <f>$C4*0.7</f>
        <v>15749.999999999998</v>
      </c>
      <c r="O4" s="143">
        <f>$C4*0.3</f>
        <v>6750</v>
      </c>
      <c r="P4" s="142"/>
      <c r="Q4" s="142"/>
      <c r="R4" s="142"/>
      <c r="S4" s="142"/>
      <c r="T4" s="141"/>
      <c r="U4" s="141"/>
      <c r="V4" s="141"/>
      <c r="W4" s="141"/>
      <c r="X4" s="142"/>
      <c r="Y4" s="142"/>
      <c r="Z4" s="142"/>
      <c r="AA4" s="142"/>
      <c r="AB4" s="142">
        <f t="shared" si="0"/>
        <v>22500</v>
      </c>
      <c r="AC4" s="4"/>
    </row>
    <row r="5" spans="1:29" x14ac:dyDescent="0.3">
      <c r="A5" s="139"/>
      <c r="B5" s="56" t="s">
        <v>3</v>
      </c>
      <c r="C5" s="60">
        <f>SUM(C2:C4)</f>
        <v>68900</v>
      </c>
      <c r="D5" s="140"/>
      <c r="E5" s="141"/>
      <c r="F5" s="141"/>
      <c r="G5" s="141"/>
      <c r="H5" s="142"/>
      <c r="I5" s="142"/>
      <c r="J5" s="142"/>
      <c r="K5" s="142"/>
      <c r="L5" s="143"/>
      <c r="M5" s="143"/>
      <c r="N5" s="143"/>
      <c r="O5" s="143"/>
      <c r="P5" s="142"/>
      <c r="Q5" s="142"/>
      <c r="R5" s="142"/>
      <c r="S5" s="142"/>
      <c r="T5" s="141"/>
      <c r="U5" s="141"/>
      <c r="V5" s="141"/>
      <c r="W5" s="141"/>
      <c r="X5" s="142"/>
      <c r="Y5" s="142"/>
      <c r="Z5" s="142"/>
      <c r="AA5" s="142"/>
      <c r="AB5" s="142"/>
      <c r="AC5" s="4"/>
    </row>
    <row r="6" spans="1:29" x14ac:dyDescent="0.3">
      <c r="A6" s="50"/>
      <c r="B6" s="90"/>
      <c r="D6" s="87"/>
      <c r="T6" s="88"/>
      <c r="U6" s="88"/>
      <c r="V6" s="88"/>
      <c r="W6" s="88"/>
      <c r="AB6" s="4"/>
      <c r="AC6" s="4"/>
    </row>
    <row r="7" spans="1:29" x14ac:dyDescent="0.3">
      <c r="A7" s="49" t="s">
        <v>4</v>
      </c>
      <c r="C7" s="49"/>
      <c r="D7" s="91"/>
      <c r="E7" s="92"/>
      <c r="F7" s="92"/>
      <c r="L7" s="93"/>
      <c r="M7" s="93"/>
      <c r="N7" s="93"/>
      <c r="T7" s="88"/>
      <c r="U7" s="88"/>
      <c r="V7" s="88"/>
      <c r="W7" s="88"/>
      <c r="AB7" s="4"/>
      <c r="AC7" s="4"/>
    </row>
    <row r="8" spans="1:29" x14ac:dyDescent="0.3">
      <c r="A8" s="51" t="s">
        <v>96</v>
      </c>
      <c r="B8" s="52"/>
      <c r="C8" s="59">
        <v>26000</v>
      </c>
      <c r="D8" s="87"/>
      <c r="J8" s="4">
        <f>C8*0.5</f>
        <v>13000</v>
      </c>
      <c r="K8" s="4">
        <f>C8*0.5</f>
        <v>13000</v>
      </c>
      <c r="L8" s="93"/>
      <c r="M8" s="93"/>
      <c r="N8" s="93"/>
      <c r="T8" s="88"/>
      <c r="U8" s="88"/>
      <c r="V8" s="88"/>
      <c r="W8" s="88"/>
      <c r="AB8" s="4">
        <f t="shared" si="0"/>
        <v>26000</v>
      </c>
      <c r="AC8" s="4"/>
    </row>
    <row r="9" spans="1:29" x14ac:dyDescent="0.3">
      <c r="A9" s="52" t="s">
        <v>104</v>
      </c>
      <c r="B9" s="84"/>
      <c r="C9" s="58">
        <v>88648</v>
      </c>
      <c r="D9" s="94"/>
      <c r="E9" s="95"/>
      <c r="H9" s="96"/>
      <c r="J9" s="96"/>
      <c r="L9" s="93"/>
      <c r="M9" s="93"/>
      <c r="N9" s="89">
        <f>$C9*1</f>
        <v>88648</v>
      </c>
      <c r="T9" s="88"/>
      <c r="U9" s="88"/>
      <c r="V9" s="88"/>
      <c r="W9" s="88"/>
      <c r="AB9" s="4">
        <f t="shared" si="0"/>
        <v>88648</v>
      </c>
      <c r="AC9" s="4"/>
    </row>
    <row r="10" spans="1:29" x14ac:dyDescent="0.3">
      <c r="A10" s="52" t="s">
        <v>102</v>
      </c>
      <c r="B10" s="55"/>
      <c r="C10" s="58">
        <v>16800</v>
      </c>
      <c r="D10" s="94"/>
      <c r="G10" s="95"/>
      <c r="H10" s="96"/>
      <c r="J10" s="96"/>
      <c r="L10" s="93"/>
      <c r="M10" s="93"/>
      <c r="N10" s="93"/>
      <c r="O10" s="89">
        <f>C10*1</f>
        <v>16800</v>
      </c>
      <c r="T10" s="88"/>
      <c r="U10" s="88"/>
      <c r="V10" s="88"/>
      <c r="W10" s="88"/>
      <c r="AB10" s="4">
        <f t="shared" si="0"/>
        <v>16800</v>
      </c>
      <c r="AC10" s="4"/>
    </row>
    <row r="11" spans="1:29" x14ac:dyDescent="0.3">
      <c r="A11" s="52" t="s">
        <v>103</v>
      </c>
      <c r="B11" s="84"/>
      <c r="C11" s="58">
        <v>15000</v>
      </c>
      <c r="D11" s="94"/>
      <c r="G11" s="95"/>
      <c r="I11" s="96"/>
      <c r="J11" s="96">
        <v>4500</v>
      </c>
      <c r="L11" s="93"/>
      <c r="M11" s="93"/>
      <c r="N11" s="93"/>
      <c r="O11" s="89">
        <v>4500</v>
      </c>
      <c r="Q11" s="4">
        <v>3000</v>
      </c>
      <c r="S11" s="4">
        <v>3000</v>
      </c>
      <c r="T11" s="88"/>
      <c r="U11" s="88"/>
      <c r="V11" s="88"/>
      <c r="W11" s="88"/>
      <c r="AB11" s="4">
        <f t="shared" si="0"/>
        <v>15000</v>
      </c>
      <c r="AC11" s="4"/>
    </row>
    <row r="12" spans="1:29" x14ac:dyDescent="0.3">
      <c r="A12" s="52" t="s">
        <v>50</v>
      </c>
      <c r="B12" s="84"/>
      <c r="C12" s="58">
        <v>14000</v>
      </c>
      <c r="D12" s="94"/>
      <c r="E12" s="95"/>
      <c r="G12" s="95"/>
      <c r="H12" s="96"/>
      <c r="J12" s="96"/>
      <c r="L12" s="93"/>
      <c r="M12" s="93"/>
      <c r="N12" s="93"/>
      <c r="P12" s="96">
        <v>14000</v>
      </c>
      <c r="T12" s="88"/>
      <c r="U12" s="88"/>
      <c r="V12" s="88"/>
      <c r="W12" s="88"/>
      <c r="AB12" s="4">
        <f t="shared" si="0"/>
        <v>14000</v>
      </c>
      <c r="AC12" s="4"/>
    </row>
    <row r="13" spans="1:29" x14ac:dyDescent="0.3">
      <c r="A13" s="97"/>
      <c r="B13" s="56" t="s">
        <v>3</v>
      </c>
      <c r="C13" s="60">
        <f>SUM(C8:C12)</f>
        <v>160448</v>
      </c>
      <c r="D13" s="98"/>
      <c r="E13" s="99"/>
      <c r="G13" s="95"/>
      <c r="H13" s="96"/>
      <c r="I13" s="96"/>
      <c r="J13" s="96"/>
      <c r="K13" s="96"/>
      <c r="L13" s="100"/>
      <c r="M13" s="100"/>
      <c r="N13" s="93"/>
      <c r="T13" s="88"/>
      <c r="U13" s="88"/>
      <c r="V13" s="88"/>
      <c r="W13" s="88"/>
      <c r="AB13" s="4"/>
      <c r="AC13" s="4"/>
    </row>
    <row r="14" spans="1:29" x14ac:dyDescent="0.3">
      <c r="A14" s="49" t="s">
        <v>7</v>
      </c>
      <c r="B14" s="49"/>
      <c r="C14" s="49"/>
      <c r="D14" s="91"/>
      <c r="E14" s="92"/>
      <c r="K14" s="101"/>
      <c r="L14" s="93"/>
      <c r="M14" s="93"/>
      <c r="N14" s="93"/>
      <c r="T14" s="88"/>
      <c r="U14" s="88"/>
      <c r="V14" s="88"/>
      <c r="W14" s="88"/>
      <c r="AB14" s="4"/>
      <c r="AC14" s="4"/>
    </row>
    <row r="15" spans="1:29" x14ac:dyDescent="0.3">
      <c r="A15" s="52" t="s">
        <v>71</v>
      </c>
      <c r="B15" s="52"/>
      <c r="C15" s="58">
        <v>11200</v>
      </c>
      <c r="D15" s="94"/>
      <c r="G15" s="95"/>
      <c r="H15" s="96">
        <f>C15*1</f>
        <v>11200</v>
      </c>
      <c r="I15" s="96"/>
      <c r="J15" s="96"/>
      <c r="K15" s="101"/>
      <c r="L15" s="93"/>
      <c r="M15" s="93"/>
      <c r="N15" s="93"/>
      <c r="T15" s="88"/>
      <c r="U15" s="88"/>
      <c r="V15" s="88"/>
      <c r="W15" s="88"/>
      <c r="AB15" s="4">
        <f t="shared" si="0"/>
        <v>11200</v>
      </c>
      <c r="AC15" s="4"/>
    </row>
    <row r="16" spans="1:29" x14ac:dyDescent="0.3">
      <c r="A16" s="52" t="s">
        <v>79</v>
      </c>
      <c r="B16" s="52"/>
      <c r="C16" s="58">
        <f>6*950</f>
        <v>5700</v>
      </c>
      <c r="D16" s="94"/>
      <c r="E16" s="95"/>
      <c r="F16" s="95"/>
      <c r="G16" s="95"/>
      <c r="K16" s="101"/>
      <c r="L16" s="93"/>
      <c r="M16" s="93"/>
      <c r="N16" s="93"/>
      <c r="P16" s="96">
        <v>1425</v>
      </c>
      <c r="Q16" s="96">
        <v>2850</v>
      </c>
      <c r="R16" s="96">
        <v>1425</v>
      </c>
      <c r="T16" s="88"/>
      <c r="U16" s="88"/>
      <c r="V16" s="88"/>
      <c r="W16" s="88"/>
      <c r="AB16" s="4">
        <f t="shared" si="0"/>
        <v>5700</v>
      </c>
      <c r="AC16" s="4"/>
    </row>
    <row r="17" spans="1:29" x14ac:dyDescent="0.3">
      <c r="A17" s="52" t="s">
        <v>8</v>
      </c>
      <c r="B17" s="52"/>
      <c r="C17" s="128">
        <f>ROUNDDOWN(2772.7,0)</f>
        <v>2772</v>
      </c>
      <c r="D17" s="94"/>
      <c r="E17" s="95"/>
      <c r="G17" s="95"/>
      <c r="I17" s="96"/>
      <c r="J17" s="96"/>
      <c r="K17" s="96">
        <f>C17</f>
        <v>2772</v>
      </c>
      <c r="L17" s="93"/>
      <c r="M17" s="93"/>
      <c r="N17" s="93"/>
      <c r="T17" s="88"/>
      <c r="U17" s="88"/>
      <c r="V17" s="88"/>
      <c r="W17" s="88"/>
      <c r="AB17" s="4">
        <f t="shared" si="0"/>
        <v>2772</v>
      </c>
      <c r="AC17" s="4"/>
    </row>
    <row r="18" spans="1:29" x14ac:dyDescent="0.3">
      <c r="A18" s="52" t="s">
        <v>113</v>
      </c>
      <c r="B18" s="52"/>
      <c r="C18" s="58">
        <v>7040</v>
      </c>
      <c r="D18" s="94"/>
      <c r="E18" s="95"/>
      <c r="G18" s="95"/>
      <c r="I18" s="96"/>
      <c r="J18" s="96"/>
      <c r="K18" s="96">
        <f>$C18/2</f>
        <v>3520</v>
      </c>
      <c r="L18" s="93"/>
      <c r="M18" s="93"/>
      <c r="N18" s="93"/>
      <c r="P18" s="96">
        <f>$C18/2</f>
        <v>3520</v>
      </c>
      <c r="T18" s="88"/>
      <c r="U18" s="88"/>
      <c r="V18" s="88"/>
      <c r="W18" s="88"/>
      <c r="AB18" s="4">
        <f t="shared" si="0"/>
        <v>7040</v>
      </c>
      <c r="AC18" s="4"/>
    </row>
    <row r="19" spans="1:29" x14ac:dyDescent="0.3">
      <c r="A19" s="52" t="s">
        <v>10</v>
      </c>
      <c r="B19" s="52"/>
      <c r="C19" s="58">
        <v>950</v>
      </c>
      <c r="D19" s="94"/>
      <c r="E19" s="95"/>
      <c r="G19" s="95"/>
      <c r="I19" s="96"/>
      <c r="J19" s="96"/>
      <c r="K19" s="96">
        <v>950</v>
      </c>
      <c r="L19" s="93"/>
      <c r="M19" s="93"/>
      <c r="N19" s="93"/>
      <c r="T19" s="88"/>
      <c r="U19" s="88"/>
      <c r="V19" s="88"/>
      <c r="W19" s="88"/>
      <c r="AB19" s="4">
        <f t="shared" si="0"/>
        <v>950</v>
      </c>
      <c r="AC19" s="4"/>
    </row>
    <row r="20" spans="1:29" x14ac:dyDescent="0.3">
      <c r="A20" s="52" t="s">
        <v>11</v>
      </c>
      <c r="B20" s="52"/>
      <c r="C20" s="128">
        <f>ROUND((1880/65*12*90)+(1880/65*17)-12,0)</f>
        <v>31717</v>
      </c>
      <c r="D20" s="94"/>
      <c r="L20" s="93"/>
      <c r="M20" s="93"/>
      <c r="N20" s="93">
        <f>$C$20*0.25</f>
        <v>7929.25</v>
      </c>
      <c r="O20" s="93">
        <f t="shared" ref="O20:Q20" si="1">$C$20*0.25</f>
        <v>7929.25</v>
      </c>
      <c r="P20" s="101">
        <f t="shared" si="1"/>
        <v>7929.25</v>
      </c>
      <c r="Q20" s="101">
        <f t="shared" si="1"/>
        <v>7929.25</v>
      </c>
      <c r="R20" s="96"/>
      <c r="S20" s="96"/>
      <c r="T20" s="88"/>
      <c r="U20" s="88"/>
      <c r="V20" s="88"/>
      <c r="W20" s="88"/>
      <c r="AB20" s="4">
        <f t="shared" si="0"/>
        <v>31717</v>
      </c>
      <c r="AC20" s="4"/>
    </row>
    <row r="21" spans="1:29" x14ac:dyDescent="0.3">
      <c r="A21" s="52" t="s">
        <v>12</v>
      </c>
      <c r="B21" s="84"/>
      <c r="C21" s="58">
        <f>140*9*5</f>
        <v>6300</v>
      </c>
      <c r="D21" s="94"/>
      <c r="E21" s="95"/>
      <c r="F21" s="88">
        <f>C21*1</f>
        <v>6300</v>
      </c>
      <c r="G21" s="95"/>
      <c r="H21" s="96"/>
      <c r="I21" s="96"/>
      <c r="J21" s="96"/>
      <c r="K21" s="101"/>
      <c r="L21" s="93"/>
      <c r="M21" s="93"/>
      <c r="N21" s="93"/>
      <c r="T21" s="88"/>
      <c r="U21" s="88"/>
      <c r="V21" s="88"/>
      <c r="W21" s="88"/>
      <c r="AB21" s="4">
        <f t="shared" si="0"/>
        <v>6300</v>
      </c>
      <c r="AC21" s="4"/>
    </row>
    <row r="22" spans="1:29" x14ac:dyDescent="0.3">
      <c r="A22" s="52" t="s">
        <v>13</v>
      </c>
      <c r="B22" s="52"/>
      <c r="C22" s="58">
        <v>2300.06</v>
      </c>
      <c r="D22" s="94"/>
      <c r="E22" s="95"/>
      <c r="G22" s="95"/>
      <c r="H22" s="96"/>
      <c r="I22" s="96">
        <f>$C22*0.5</f>
        <v>1150.03</v>
      </c>
      <c r="J22" s="96"/>
      <c r="K22" s="101"/>
      <c r="L22" s="93"/>
      <c r="M22" s="93">
        <f>($C22)*0.5</f>
        <v>1150.03</v>
      </c>
      <c r="N22" s="93"/>
      <c r="T22" s="88"/>
      <c r="U22" s="88"/>
      <c r="V22" s="88"/>
      <c r="W22" s="88"/>
      <c r="AB22" s="4">
        <f t="shared" si="0"/>
        <v>2300.06</v>
      </c>
      <c r="AC22" s="4"/>
    </row>
    <row r="23" spans="1:29" x14ac:dyDescent="0.3">
      <c r="A23" s="52" t="s">
        <v>14</v>
      </c>
      <c r="B23" s="52"/>
      <c r="C23" s="58">
        <f>2176+418</f>
        <v>2594</v>
      </c>
      <c r="D23" s="94"/>
      <c r="E23" s="95"/>
      <c r="G23" s="95"/>
      <c r="H23" s="96"/>
      <c r="I23" s="96">
        <f>$C23*0.5</f>
        <v>1297</v>
      </c>
      <c r="J23" s="96"/>
      <c r="K23" s="101"/>
      <c r="L23" s="93"/>
      <c r="M23" s="93">
        <f>C23*0.5</f>
        <v>1297</v>
      </c>
      <c r="N23" s="93"/>
      <c r="T23" s="88"/>
      <c r="U23" s="88"/>
      <c r="V23" s="88"/>
      <c r="W23" s="88"/>
      <c r="AB23" s="4">
        <f t="shared" si="0"/>
        <v>2594</v>
      </c>
      <c r="AC23" s="4"/>
    </row>
    <row r="24" spans="1:29" x14ac:dyDescent="0.3">
      <c r="B24" s="56" t="s">
        <v>3</v>
      </c>
      <c r="C24" s="60">
        <f>ROUND(SUM(C15:C23),0)</f>
        <v>70573</v>
      </c>
      <c r="D24" s="98"/>
      <c r="E24" s="99"/>
      <c r="G24" s="102"/>
      <c r="H24" s="103"/>
      <c r="I24" s="103"/>
      <c r="J24" s="103"/>
      <c r="K24" s="101"/>
      <c r="L24" s="93"/>
      <c r="M24" s="93"/>
      <c r="N24" s="93"/>
      <c r="T24" s="88"/>
      <c r="U24" s="88"/>
      <c r="V24" s="88"/>
      <c r="W24" s="88"/>
      <c r="AB24" s="4"/>
      <c r="AC24" s="4"/>
    </row>
    <row r="25" spans="1:29" x14ac:dyDescent="0.3">
      <c r="A25" s="49" t="s">
        <v>15</v>
      </c>
      <c r="B25" s="49"/>
      <c r="C25" s="49"/>
      <c r="D25" s="91"/>
      <c r="E25" s="92"/>
      <c r="I25" s="101"/>
      <c r="J25" s="101"/>
      <c r="K25" s="101"/>
      <c r="L25" s="93"/>
      <c r="M25" s="93"/>
      <c r="N25" s="93"/>
      <c r="T25" s="88"/>
      <c r="U25" s="88"/>
      <c r="V25" s="88"/>
      <c r="W25" s="88"/>
      <c r="AB25" s="4"/>
      <c r="AC25" s="4"/>
    </row>
    <row r="26" spans="1:29" x14ac:dyDescent="0.3">
      <c r="A26" s="52" t="s">
        <v>16</v>
      </c>
      <c r="B26" s="52"/>
      <c r="C26" s="58">
        <v>4200</v>
      </c>
      <c r="D26" s="94"/>
      <c r="E26" s="95"/>
      <c r="F26" s="95"/>
      <c r="G26" s="95"/>
      <c r="N26" s="89">
        <f t="shared" ref="N26:Q26" si="2">($C26)*0.1</f>
        <v>420</v>
      </c>
      <c r="O26" s="89">
        <f t="shared" si="2"/>
        <v>420</v>
      </c>
      <c r="P26" s="4">
        <f t="shared" si="2"/>
        <v>420</v>
      </c>
      <c r="Q26" s="4">
        <f t="shared" si="2"/>
        <v>420</v>
      </c>
      <c r="R26" s="4">
        <f>($C26)*0.1</f>
        <v>420</v>
      </c>
      <c r="S26" s="4">
        <f>($C26)*0.1</f>
        <v>420</v>
      </c>
      <c r="T26" s="88">
        <f t="shared" ref="T26:U26" si="3">($C26)*0.1</f>
        <v>420</v>
      </c>
      <c r="U26" s="88">
        <f t="shared" si="3"/>
        <v>420</v>
      </c>
      <c r="V26" s="88">
        <v>420</v>
      </c>
      <c r="W26" s="88">
        <v>420</v>
      </c>
      <c r="AB26" s="4">
        <f t="shared" si="0"/>
        <v>4200</v>
      </c>
      <c r="AC26" s="4"/>
    </row>
    <row r="27" spans="1:29" x14ac:dyDescent="0.3">
      <c r="A27" s="52" t="s">
        <v>17</v>
      </c>
      <c r="B27" s="84"/>
      <c r="C27" s="58">
        <f>ROUND(67.76*9*120,0)</f>
        <v>73181</v>
      </c>
      <c r="D27" s="94"/>
      <c r="E27" s="95"/>
      <c r="O27" s="89">
        <f>C27/7</f>
        <v>10454.428571428571</v>
      </c>
      <c r="P27" s="4">
        <v>10454.4</v>
      </c>
      <c r="Q27" s="4">
        <v>10454.4</v>
      </c>
      <c r="R27" s="4">
        <v>10454.4</v>
      </c>
      <c r="S27" s="4">
        <v>10454.4</v>
      </c>
      <c r="T27" s="88">
        <v>10454.4</v>
      </c>
      <c r="U27" s="88">
        <v>10454.4</v>
      </c>
      <c r="V27" s="88"/>
      <c r="W27" s="88"/>
      <c r="AB27" s="4">
        <f t="shared" si="0"/>
        <v>73180.828571428574</v>
      </c>
      <c r="AC27" s="4"/>
    </row>
    <row r="28" spans="1:29" x14ac:dyDescent="0.3">
      <c r="A28" s="52" t="s">
        <v>33</v>
      </c>
      <c r="B28" s="84"/>
      <c r="C28" s="85">
        <f>21200+265</f>
        <v>21465</v>
      </c>
      <c r="D28" s="94"/>
      <c r="E28" s="95"/>
      <c r="O28" s="89">
        <f>$C28/7</f>
        <v>3066.4285714285716</v>
      </c>
      <c r="P28" s="4">
        <f t="shared" ref="P28:U28" si="4">$C28/7</f>
        <v>3066.4285714285716</v>
      </c>
      <c r="Q28" s="4">
        <f t="shared" si="4"/>
        <v>3066.4285714285716</v>
      </c>
      <c r="R28" s="4">
        <f t="shared" si="4"/>
        <v>3066.4285714285716</v>
      </c>
      <c r="S28" s="4">
        <f t="shared" si="4"/>
        <v>3066.4285714285716</v>
      </c>
      <c r="T28" s="88">
        <f t="shared" si="4"/>
        <v>3066.4285714285716</v>
      </c>
      <c r="U28" s="88">
        <f t="shared" si="4"/>
        <v>3066.4285714285716</v>
      </c>
      <c r="V28" s="88"/>
      <c r="W28" s="88"/>
      <c r="AB28" s="4">
        <f t="shared" si="0"/>
        <v>21465.000000000004</v>
      </c>
      <c r="AC28" s="4"/>
    </row>
    <row r="29" spans="1:29" x14ac:dyDescent="0.3">
      <c r="A29" s="52" t="s">
        <v>36</v>
      </c>
      <c r="B29" s="84"/>
      <c r="C29" s="85">
        <v>18245</v>
      </c>
      <c r="D29" s="94"/>
      <c r="E29" s="95"/>
      <c r="S29" s="4">
        <f>$C29/8</f>
        <v>2280.625</v>
      </c>
      <c r="T29" s="88">
        <f>$C29/8</f>
        <v>2280.625</v>
      </c>
      <c r="U29" s="88">
        <f>$C29/8</f>
        <v>2280.625</v>
      </c>
      <c r="V29" s="88">
        <f t="shared" ref="V29:Z29" si="5">$C29/8</f>
        <v>2280.625</v>
      </c>
      <c r="W29" s="88">
        <f t="shared" si="5"/>
        <v>2280.625</v>
      </c>
      <c r="X29" s="4">
        <f t="shared" si="5"/>
        <v>2280.625</v>
      </c>
      <c r="Y29" s="4">
        <f t="shared" si="5"/>
        <v>2280.625</v>
      </c>
      <c r="Z29" s="4">
        <f t="shared" si="5"/>
        <v>2280.625</v>
      </c>
      <c r="AB29" s="4">
        <f t="shared" si="0"/>
        <v>18245</v>
      </c>
      <c r="AC29" s="4"/>
    </row>
    <row r="30" spans="1:29" x14ac:dyDescent="0.3">
      <c r="B30" s="56" t="s">
        <v>3</v>
      </c>
      <c r="C30" s="60">
        <f>ROUND(SUM(C26:C29),0)</f>
        <v>117091</v>
      </c>
      <c r="D30" s="98"/>
      <c r="E30" s="99"/>
      <c r="G30" s="102"/>
      <c r="H30" s="103"/>
      <c r="I30" s="101"/>
      <c r="J30" s="101"/>
      <c r="K30" s="101"/>
      <c r="L30" s="93"/>
      <c r="M30" s="93"/>
      <c r="N30" s="93"/>
      <c r="T30" s="88"/>
      <c r="U30" s="88"/>
      <c r="V30" s="88"/>
      <c r="W30" s="88"/>
      <c r="AB30" s="4"/>
      <c r="AC30" s="4"/>
    </row>
    <row r="31" spans="1:29" x14ac:dyDescent="0.3">
      <c r="A31" s="49" t="s">
        <v>18</v>
      </c>
      <c r="B31" s="49"/>
      <c r="C31" s="49"/>
      <c r="D31" s="91"/>
      <c r="E31" s="92"/>
      <c r="F31" s="92"/>
      <c r="M31" s="93"/>
      <c r="N31" s="93"/>
      <c r="T31" s="88"/>
      <c r="U31" s="88"/>
      <c r="V31" s="88"/>
      <c r="W31" s="88"/>
      <c r="AB31" s="4"/>
      <c r="AC31" s="4"/>
    </row>
    <row r="32" spans="1:29" x14ac:dyDescent="0.3">
      <c r="A32" s="52" t="s">
        <v>84</v>
      </c>
      <c r="B32" s="52"/>
      <c r="C32" s="59">
        <v>8000</v>
      </c>
      <c r="I32" s="96"/>
      <c r="J32" s="4">
        <f>$C$32/6</f>
        <v>1333.3333333333333</v>
      </c>
      <c r="K32" s="96"/>
      <c r="L32" s="104">
        <f>$C$32/6</f>
        <v>1333.3333333333333</v>
      </c>
      <c r="M32" s="100"/>
      <c r="N32" s="104">
        <f>$C$32/6</f>
        <v>1333.3333333333333</v>
      </c>
      <c r="O32" s="100"/>
      <c r="Q32" s="105"/>
      <c r="R32" s="4">
        <f>$C$32/6</f>
        <v>1333.3333333333333</v>
      </c>
      <c r="S32" s="105"/>
      <c r="T32" s="88"/>
      <c r="U32" s="88"/>
      <c r="V32" s="88">
        <f>$C$32/6</f>
        <v>1333.3333333333333</v>
      </c>
      <c r="W32" s="88"/>
      <c r="Y32" s="105"/>
      <c r="Z32" s="4">
        <f>$C$32/6</f>
        <v>1333.3333333333333</v>
      </c>
      <c r="AA32" s="105"/>
      <c r="AB32" s="4">
        <f>SUM(D32:AA32)</f>
        <v>7999.9999999999991</v>
      </c>
      <c r="AC32" s="4"/>
    </row>
    <row r="33" spans="1:32" x14ac:dyDescent="0.3">
      <c r="A33" s="52" t="s">
        <v>72</v>
      </c>
      <c r="B33" s="52"/>
      <c r="C33" s="58">
        <v>8000</v>
      </c>
      <c r="D33" s="94"/>
      <c r="E33" s="95"/>
      <c r="F33" s="95">
        <v>360</v>
      </c>
      <c r="G33" s="95"/>
      <c r="K33" s="96"/>
      <c r="L33" s="100"/>
      <c r="M33" s="100"/>
      <c r="N33" s="100"/>
      <c r="O33" s="100">
        <v>2000</v>
      </c>
      <c r="P33" s="96"/>
      <c r="Q33" s="96"/>
      <c r="R33" s="96">
        <v>2000</v>
      </c>
      <c r="S33" s="96"/>
      <c r="T33" s="95"/>
      <c r="U33" s="95"/>
      <c r="V33" s="95">
        <v>2000</v>
      </c>
      <c r="W33" s="95"/>
      <c r="X33" s="96"/>
      <c r="Y33" s="96">
        <v>1640</v>
      </c>
      <c r="Z33" s="96"/>
      <c r="AA33" s="96"/>
      <c r="AB33" s="4">
        <f>SUM(D33:AA33)</f>
        <v>8000</v>
      </c>
      <c r="AC33" s="4"/>
    </row>
    <row r="34" spans="1:32" x14ac:dyDescent="0.3">
      <c r="A34" s="52" t="s">
        <v>19</v>
      </c>
      <c r="B34" s="52"/>
      <c r="C34" s="58">
        <v>600</v>
      </c>
      <c r="D34" s="94"/>
      <c r="E34" s="95"/>
      <c r="F34" s="95"/>
      <c r="G34" s="95"/>
      <c r="L34" s="100">
        <f t="shared" ref="L34:M34" si="6">$C34*0.125</f>
        <v>75</v>
      </c>
      <c r="M34" s="100">
        <f t="shared" si="6"/>
        <v>75</v>
      </c>
      <c r="N34" s="93">
        <v>75</v>
      </c>
      <c r="O34" s="89">
        <v>75</v>
      </c>
      <c r="R34" s="96"/>
      <c r="S34" s="96"/>
      <c r="T34" s="95"/>
      <c r="U34" s="95">
        <f>$C34*0.125</f>
        <v>75</v>
      </c>
      <c r="V34" s="95">
        <f>$C34*0.125</f>
        <v>75</v>
      </c>
      <c r="W34" s="95">
        <f>$C34*0.125</f>
        <v>75</v>
      </c>
      <c r="X34" s="96">
        <f>$C34*0.125</f>
        <v>75</v>
      </c>
      <c r="AB34" s="4">
        <f t="shared" ref="AB34:AB40" si="7">SUM(D34:AA34)</f>
        <v>600</v>
      </c>
      <c r="AC34" s="4"/>
    </row>
    <row r="35" spans="1:32" x14ac:dyDescent="0.3">
      <c r="A35" s="52" t="s">
        <v>20</v>
      </c>
      <c r="B35" s="84"/>
      <c r="C35" s="58">
        <v>4500</v>
      </c>
      <c r="D35" s="94"/>
      <c r="E35" s="95"/>
      <c r="F35" s="95"/>
      <c r="K35" s="96"/>
      <c r="L35" s="100">
        <f>$C35*0.25</f>
        <v>1125</v>
      </c>
      <c r="M35" s="93"/>
      <c r="N35" s="100">
        <f>$C35*0.25</f>
        <v>1125</v>
      </c>
      <c r="Q35" s="96">
        <f>$C35*0.25</f>
        <v>1125</v>
      </c>
      <c r="R35" s="96"/>
      <c r="S35" s="96">
        <f>$C35*0.25</f>
        <v>1125</v>
      </c>
      <c r="T35" s="88"/>
      <c r="U35" s="88"/>
      <c r="V35" s="88"/>
      <c r="W35" s="88"/>
      <c r="AB35" s="4">
        <f t="shared" si="7"/>
        <v>4500</v>
      </c>
      <c r="AC35" s="4"/>
    </row>
    <row r="36" spans="1:32" x14ac:dyDescent="0.3">
      <c r="A36" s="52" t="s">
        <v>21</v>
      </c>
      <c r="B36" s="55"/>
      <c r="C36" s="58">
        <v>500</v>
      </c>
      <c r="D36" s="94"/>
      <c r="E36" s="106"/>
      <c r="F36" s="95"/>
      <c r="H36" s="96"/>
      <c r="I36" s="96"/>
      <c r="J36" s="96">
        <v>500</v>
      </c>
      <c r="K36" s="96"/>
      <c r="L36" s="100"/>
      <c r="M36" s="93"/>
      <c r="N36" s="93"/>
      <c r="T36" s="88"/>
      <c r="U36" s="88"/>
      <c r="V36" s="88"/>
      <c r="W36" s="88"/>
      <c r="AB36" s="4">
        <f t="shared" si="7"/>
        <v>500</v>
      </c>
      <c r="AC36" s="4"/>
    </row>
    <row r="37" spans="1:32" x14ac:dyDescent="0.3">
      <c r="A37" s="52" t="s">
        <v>22</v>
      </c>
      <c r="B37" s="84"/>
      <c r="C37" s="58">
        <f>8200-450-350</f>
        <v>7400</v>
      </c>
      <c r="D37" s="94"/>
      <c r="E37" s="95"/>
      <c r="F37" s="95"/>
      <c r="G37" s="95"/>
      <c r="H37" s="96"/>
      <c r="M37" s="93"/>
      <c r="N37" s="93"/>
      <c r="O37" s="100">
        <v>800</v>
      </c>
      <c r="P37" s="96">
        <v>800</v>
      </c>
      <c r="Q37" s="96">
        <f>(C37-1600)/2</f>
        <v>2900</v>
      </c>
      <c r="R37" s="96">
        <v>2900</v>
      </c>
      <c r="T37" s="88"/>
      <c r="U37" s="88"/>
      <c r="V37" s="88"/>
      <c r="W37" s="88"/>
      <c r="AB37" s="4">
        <f t="shared" si="7"/>
        <v>7400</v>
      </c>
      <c r="AC37" s="4"/>
    </row>
    <row r="38" spans="1:32" x14ac:dyDescent="0.3">
      <c r="A38" s="52" t="s">
        <v>23</v>
      </c>
      <c r="B38" s="84"/>
      <c r="C38" s="58">
        <v>6000</v>
      </c>
      <c r="D38" s="94"/>
      <c r="E38" s="95"/>
      <c r="F38" s="95"/>
      <c r="H38" s="96"/>
      <c r="L38" s="100"/>
      <c r="M38" s="93"/>
      <c r="N38" s="93"/>
      <c r="O38" s="100">
        <v>2300</v>
      </c>
      <c r="P38" s="96">
        <v>2300</v>
      </c>
      <c r="Q38" s="96">
        <v>1400</v>
      </c>
      <c r="T38" s="88"/>
      <c r="U38" s="88"/>
      <c r="V38" s="88"/>
      <c r="W38" s="88"/>
      <c r="AB38" s="4">
        <f t="shared" si="7"/>
        <v>6000</v>
      </c>
      <c r="AC38" s="4"/>
    </row>
    <row r="39" spans="1:32" x14ac:dyDescent="0.3">
      <c r="A39" s="52" t="s">
        <v>24</v>
      </c>
      <c r="B39" s="52"/>
      <c r="C39" s="58">
        <v>4600</v>
      </c>
      <c r="D39" s="94"/>
      <c r="E39" s="95"/>
      <c r="F39" s="95"/>
      <c r="L39" s="89">
        <f t="shared" ref="L39:T39" si="8">$C39/8</f>
        <v>575</v>
      </c>
      <c r="M39" s="89">
        <f t="shared" si="8"/>
        <v>575</v>
      </c>
      <c r="N39" s="89">
        <v>575</v>
      </c>
      <c r="O39" s="89">
        <f>$C39/16</f>
        <v>287.5</v>
      </c>
      <c r="P39" s="4">
        <v>287.5</v>
      </c>
      <c r="Q39" s="4">
        <f t="shared" si="8"/>
        <v>575</v>
      </c>
      <c r="R39" s="4">
        <f t="shared" si="8"/>
        <v>575</v>
      </c>
      <c r="S39" s="4">
        <f t="shared" si="8"/>
        <v>575</v>
      </c>
      <c r="T39" s="88">
        <f t="shared" si="8"/>
        <v>575</v>
      </c>
      <c r="U39" s="88"/>
      <c r="V39" s="88"/>
      <c r="W39" s="88"/>
      <c r="AB39" s="4">
        <f t="shared" si="7"/>
        <v>4600</v>
      </c>
      <c r="AC39" s="4"/>
      <c r="AF39" s="4"/>
    </row>
    <row r="40" spans="1:32" x14ac:dyDescent="0.3">
      <c r="A40" s="52" t="s">
        <v>25</v>
      </c>
      <c r="B40" s="52"/>
      <c r="C40" s="58">
        <v>1050</v>
      </c>
      <c r="D40" s="94"/>
      <c r="E40" s="95"/>
      <c r="F40" s="95"/>
      <c r="G40" s="95"/>
      <c r="L40" s="100">
        <f t="shared" ref="L40:V40" si="9">$C40/12</f>
        <v>87.5</v>
      </c>
      <c r="M40" s="100">
        <f t="shared" si="9"/>
        <v>87.5</v>
      </c>
      <c r="N40" s="100">
        <f t="shared" si="9"/>
        <v>87.5</v>
      </c>
      <c r="O40" s="100">
        <f t="shared" si="9"/>
        <v>87.5</v>
      </c>
      <c r="P40" s="96">
        <v>87.5</v>
      </c>
      <c r="Q40" s="96">
        <v>87.5</v>
      </c>
      <c r="R40" s="96">
        <v>87.5</v>
      </c>
      <c r="S40" s="96">
        <v>175</v>
      </c>
      <c r="T40" s="95">
        <f t="shared" si="9"/>
        <v>87.5</v>
      </c>
      <c r="U40" s="95">
        <f t="shared" si="9"/>
        <v>87.5</v>
      </c>
      <c r="V40" s="95">
        <f t="shared" si="9"/>
        <v>87.5</v>
      </c>
      <c r="W40" s="95"/>
      <c r="X40" s="96"/>
      <c r="Y40" s="96"/>
      <c r="Z40" s="96"/>
      <c r="AA40" s="96"/>
      <c r="AB40" s="4">
        <f t="shared" si="7"/>
        <v>1050</v>
      </c>
      <c r="AC40" s="4"/>
    </row>
    <row r="41" spans="1:32" x14ac:dyDescent="0.3">
      <c r="A41" s="97"/>
      <c r="B41" s="56" t="s">
        <v>3</v>
      </c>
      <c r="C41" s="61">
        <f>SUM(C32:C40)</f>
        <v>40650</v>
      </c>
      <c r="D41" s="98"/>
      <c r="E41" s="99"/>
      <c r="F41" s="99"/>
      <c r="H41" s="107"/>
      <c r="I41" s="107"/>
      <c r="J41" s="107"/>
      <c r="K41" s="107"/>
      <c r="L41" s="108"/>
      <c r="M41" s="108"/>
      <c r="N41" s="108"/>
      <c r="T41" s="88"/>
      <c r="U41" s="88"/>
      <c r="V41" s="88"/>
      <c r="W41" s="88"/>
      <c r="AB41" s="4"/>
      <c r="AC41" s="4"/>
    </row>
    <row r="42" spans="1:32" x14ac:dyDescent="0.3">
      <c r="A42" s="49" t="s">
        <v>53</v>
      </c>
      <c r="C42" s="62"/>
      <c r="D42" s="98"/>
      <c r="E42" s="99"/>
      <c r="F42" s="99"/>
      <c r="H42" s="107"/>
      <c r="I42" s="107"/>
      <c r="J42" s="107"/>
      <c r="K42" s="107"/>
      <c r="L42" s="108"/>
      <c r="M42" s="108"/>
      <c r="N42" s="108"/>
      <c r="T42" s="88"/>
      <c r="U42" s="88"/>
      <c r="V42" s="88"/>
      <c r="W42" s="88"/>
      <c r="AB42" s="4"/>
      <c r="AC42" s="4"/>
    </row>
    <row r="43" spans="1:32" x14ac:dyDescent="0.3">
      <c r="A43" s="52" t="s">
        <v>54</v>
      </c>
      <c r="C43" s="58">
        <v>1200</v>
      </c>
      <c r="D43" s="98"/>
      <c r="E43" s="109"/>
      <c r="F43" s="109"/>
      <c r="G43" s="109"/>
      <c r="H43" s="107"/>
      <c r="L43" s="108"/>
      <c r="M43" s="108"/>
      <c r="N43" s="108"/>
      <c r="Q43" s="110">
        <v>400</v>
      </c>
      <c r="R43" s="110">
        <v>400</v>
      </c>
      <c r="S43" s="110">
        <v>400</v>
      </c>
      <c r="T43" s="88"/>
      <c r="U43" s="88"/>
      <c r="V43" s="88"/>
      <c r="W43" s="88"/>
      <c r="AB43" s="4">
        <f t="shared" ref="AB43:AB46" si="10">SUM(D43:AA43)</f>
        <v>1200</v>
      </c>
      <c r="AC43" s="4"/>
    </row>
    <row r="44" spans="1:32" x14ac:dyDescent="0.3">
      <c r="A44" s="52" t="s">
        <v>85</v>
      </c>
      <c r="C44" s="58">
        <v>1800</v>
      </c>
      <c r="D44" s="98"/>
      <c r="E44" s="99"/>
      <c r="F44" s="99"/>
      <c r="I44" s="4">
        <f>C44/3</f>
        <v>600</v>
      </c>
      <c r="J44" s="107"/>
      <c r="K44" s="107"/>
      <c r="L44" s="108"/>
      <c r="M44" s="111"/>
      <c r="N44" s="108"/>
      <c r="P44" s="112">
        <f>C44/3</f>
        <v>600</v>
      </c>
      <c r="R44" s="4">
        <v>600</v>
      </c>
      <c r="T44" s="88"/>
      <c r="U44" s="88"/>
      <c r="V44" s="88"/>
      <c r="W44" s="88"/>
      <c r="AB44" s="4">
        <f t="shared" si="10"/>
        <v>1800</v>
      </c>
      <c r="AC44" s="4"/>
    </row>
    <row r="45" spans="1:32" x14ac:dyDescent="0.3">
      <c r="A45" s="52" t="s">
        <v>55</v>
      </c>
      <c r="C45" s="58">
        <f>ROUND(1044.77,0)</f>
        <v>1045</v>
      </c>
      <c r="D45" s="98"/>
      <c r="E45" s="99"/>
      <c r="F45" s="99"/>
      <c r="H45" s="107"/>
      <c r="I45" s="107"/>
      <c r="J45" s="107"/>
      <c r="L45" s="108"/>
      <c r="M45" s="108"/>
      <c r="N45" s="108"/>
      <c r="O45" s="89">
        <v>300</v>
      </c>
      <c r="R45" s="4">
        <v>222.38</v>
      </c>
      <c r="S45" s="110">
        <f>C45/2</f>
        <v>522.5</v>
      </c>
      <c r="T45" s="88"/>
      <c r="U45" s="88"/>
      <c r="V45" s="88"/>
      <c r="W45" s="88"/>
      <c r="AB45" s="4">
        <f t="shared" si="10"/>
        <v>1044.8800000000001</v>
      </c>
      <c r="AC45" s="4"/>
    </row>
    <row r="46" spans="1:32" x14ac:dyDescent="0.3">
      <c r="A46" s="52" t="s">
        <v>56</v>
      </c>
      <c r="C46" s="58">
        <v>12000</v>
      </c>
      <c r="D46" s="98"/>
      <c r="E46" s="99"/>
      <c r="F46" s="109"/>
      <c r="G46" s="109"/>
      <c r="H46" s="110"/>
      <c r="L46" s="113"/>
      <c r="M46" s="113"/>
      <c r="N46" s="111">
        <v>1500</v>
      </c>
      <c r="O46" s="89">
        <v>1500</v>
      </c>
      <c r="P46" s="4">
        <v>1500</v>
      </c>
      <c r="Q46" s="4">
        <v>1500</v>
      </c>
      <c r="R46" s="4">
        <v>1500</v>
      </c>
      <c r="S46" s="4">
        <v>1500</v>
      </c>
      <c r="T46" s="88">
        <v>1500</v>
      </c>
      <c r="U46" s="88">
        <v>1500</v>
      </c>
      <c r="V46" s="88"/>
      <c r="W46" s="88"/>
      <c r="AB46" s="4">
        <f t="shared" si="10"/>
        <v>12000</v>
      </c>
      <c r="AC46" s="4"/>
    </row>
    <row r="47" spans="1:32" x14ac:dyDescent="0.3">
      <c r="B47" s="56" t="s">
        <v>3</v>
      </c>
      <c r="C47" s="60">
        <f>SUM(C43:C46)</f>
        <v>16045</v>
      </c>
      <c r="D47" s="98"/>
      <c r="E47" s="99"/>
      <c r="F47" s="99"/>
      <c r="H47" s="107"/>
      <c r="I47" s="107"/>
      <c r="J47" s="107"/>
      <c r="K47" s="107"/>
      <c r="L47" s="108"/>
      <c r="M47" s="108"/>
      <c r="N47" s="108"/>
      <c r="T47" s="88"/>
      <c r="U47" s="88"/>
      <c r="V47" s="88"/>
      <c r="W47" s="88"/>
      <c r="AB47" s="4"/>
      <c r="AC47" s="4"/>
    </row>
    <row r="48" spans="1:32" x14ac:dyDescent="0.3">
      <c r="A48" s="53" t="s">
        <v>26</v>
      </c>
      <c r="B48" s="4"/>
      <c r="C48" s="63"/>
      <c r="D48" s="87"/>
      <c r="G48" s="114"/>
      <c r="I48" s="63"/>
      <c r="J48" s="101"/>
      <c r="K48" s="101"/>
      <c r="L48" s="93"/>
      <c r="M48" s="93"/>
      <c r="N48" s="93"/>
      <c r="T48" s="88"/>
      <c r="U48" s="88"/>
      <c r="V48" s="88"/>
      <c r="W48" s="88"/>
      <c r="AB48" s="4"/>
      <c r="AC48" s="4"/>
    </row>
    <row r="49" spans="1:30" ht="21" customHeight="1" x14ac:dyDescent="0.3">
      <c r="A49" s="54" t="s">
        <v>30</v>
      </c>
      <c r="B49" s="4"/>
      <c r="C49" s="127">
        <v>5280.6862499999997</v>
      </c>
      <c r="D49" s="87"/>
      <c r="P49" s="4">
        <f t="shared" ref="P49:V49" si="11">$C49*0.125</f>
        <v>660.08578124999997</v>
      </c>
      <c r="Q49" s="4">
        <f t="shared" si="11"/>
        <v>660.08578124999997</v>
      </c>
      <c r="R49" s="4">
        <f t="shared" si="11"/>
        <v>660.08578124999997</v>
      </c>
      <c r="S49" s="4">
        <f t="shared" si="11"/>
        <v>660.08578124999997</v>
      </c>
      <c r="T49" s="88">
        <f t="shared" si="11"/>
        <v>660.08578124999997</v>
      </c>
      <c r="U49" s="88">
        <f t="shared" si="11"/>
        <v>660.08578124999997</v>
      </c>
      <c r="V49" s="88">
        <f t="shared" si="11"/>
        <v>660.08578124999997</v>
      </c>
      <c r="W49" s="88">
        <f>C49*0.075</f>
        <v>396.05146874999997</v>
      </c>
      <c r="X49" s="4">
        <f>C49*0.05</f>
        <v>264.0343125</v>
      </c>
      <c r="AB49" s="115">
        <f t="shared" ref="AB49:AB55" si="12">SUM(D49:AA49)</f>
        <v>5280.6862499999997</v>
      </c>
      <c r="AC49" s="4"/>
    </row>
    <row r="50" spans="1:30" ht="21" customHeight="1" x14ac:dyDescent="0.3">
      <c r="A50" s="54" t="s">
        <v>31</v>
      </c>
      <c r="B50" s="4"/>
      <c r="C50" s="127">
        <v>10431.169750000001</v>
      </c>
      <c r="D50" s="87"/>
      <c r="L50" s="93"/>
      <c r="N50" s="93"/>
      <c r="O50" s="89">
        <f>$C50*'Personnel 2023'!D7/'Personel Overall'!I7</f>
        <v>508.83754878048785</v>
      </c>
      <c r="Q50" s="4">
        <f>$C50*'Personnel 2024'!D7/2/'Personel Overall'!I7</f>
        <v>1908.1408079268294</v>
      </c>
      <c r="R50" s="101"/>
      <c r="S50" s="4">
        <f>$C50*'Personnel 2024'!D7/2/'Personel Overall'!I7</f>
        <v>1908.1408079268294</v>
      </c>
      <c r="T50" s="88"/>
      <c r="U50" s="88">
        <f>$C50*30/164</f>
        <v>1908.1408079268294</v>
      </c>
      <c r="V50" s="88"/>
      <c r="W50" s="88">
        <f>$C50*30/164</f>
        <v>1908.1408079268294</v>
      </c>
      <c r="Y50" s="4">
        <f>$C50*24/164</f>
        <v>1526.5126463414636</v>
      </c>
      <c r="AA50" s="4">
        <f>$C50*12/164</f>
        <v>763.25632317073178</v>
      </c>
      <c r="AB50" s="115">
        <f t="shared" si="12"/>
        <v>10431.169750000001</v>
      </c>
      <c r="AC50" s="4"/>
    </row>
    <row r="51" spans="1:30" ht="21" customHeight="1" x14ac:dyDescent="0.3">
      <c r="A51" s="54" t="s">
        <v>108</v>
      </c>
      <c r="B51" s="4"/>
      <c r="C51" s="127">
        <v>2201.9259375000001</v>
      </c>
      <c r="D51" s="87"/>
      <c r="L51" s="93"/>
      <c r="N51" s="93"/>
      <c r="R51" s="101"/>
      <c r="S51" s="4">
        <f>$C51*0.333</f>
        <v>733.24133718750011</v>
      </c>
      <c r="T51" s="88"/>
      <c r="U51" s="88"/>
      <c r="V51" s="88"/>
      <c r="W51" s="88">
        <f>$C51*0.333</f>
        <v>733.24133718750011</v>
      </c>
      <c r="AA51" s="4">
        <f>$C51*0.334</f>
        <v>735.44326312500004</v>
      </c>
      <c r="AB51" s="115">
        <f t="shared" si="12"/>
        <v>2201.9259375000001</v>
      </c>
      <c r="AC51" s="4"/>
    </row>
    <row r="52" spans="1:30" ht="21" customHeight="1" x14ac:dyDescent="0.3">
      <c r="A52" s="54" t="s">
        <v>105</v>
      </c>
      <c r="B52" s="4"/>
      <c r="C52" s="127">
        <v>7384.3649999999998</v>
      </c>
      <c r="D52" s="87"/>
      <c r="G52" s="114"/>
      <c r="P52" s="116">
        <f t="shared" ref="P52:W52" si="13">$C52/9</f>
        <v>820.48500000000001</v>
      </c>
      <c r="Q52" s="116">
        <f t="shared" si="13"/>
        <v>820.48500000000001</v>
      </c>
      <c r="R52" s="116">
        <f t="shared" si="13"/>
        <v>820.48500000000001</v>
      </c>
      <c r="S52" s="116">
        <f t="shared" si="13"/>
        <v>820.48500000000001</v>
      </c>
      <c r="T52" s="117">
        <f t="shared" si="13"/>
        <v>820.48500000000001</v>
      </c>
      <c r="U52" s="117">
        <f t="shared" si="13"/>
        <v>820.48500000000001</v>
      </c>
      <c r="V52" s="117">
        <f t="shared" si="13"/>
        <v>820.48500000000001</v>
      </c>
      <c r="W52" s="117">
        <f t="shared" si="13"/>
        <v>820.48500000000001</v>
      </c>
      <c r="X52" s="116">
        <f>$C52/9</f>
        <v>820.48500000000001</v>
      </c>
      <c r="AB52" s="115">
        <f t="shared" si="12"/>
        <v>7384.3649999999989</v>
      </c>
      <c r="AC52" s="4"/>
    </row>
    <row r="53" spans="1:30" ht="21" customHeight="1" x14ac:dyDescent="0.3">
      <c r="A53" s="54" t="s">
        <v>109</v>
      </c>
      <c r="B53" s="4"/>
      <c r="C53" s="127">
        <v>6475.5787500000006</v>
      </c>
      <c r="D53" s="87"/>
      <c r="P53" s="4">
        <f>$C53*0.333/4</f>
        <v>539.09193093750002</v>
      </c>
      <c r="Q53" s="4">
        <f t="shared" ref="Q53:W53" si="14">$C53*0.333/4</f>
        <v>539.09193093750002</v>
      </c>
      <c r="R53" s="4">
        <f t="shared" si="14"/>
        <v>539.09193093750002</v>
      </c>
      <c r="S53" s="4">
        <f t="shared" si="14"/>
        <v>539.09193093750002</v>
      </c>
      <c r="T53" s="88">
        <f t="shared" si="14"/>
        <v>539.09193093750002</v>
      </c>
      <c r="U53" s="88">
        <f t="shared" si="14"/>
        <v>539.09193093750002</v>
      </c>
      <c r="V53" s="88">
        <f t="shared" si="14"/>
        <v>539.09193093750002</v>
      </c>
      <c r="W53" s="88">
        <f t="shared" si="14"/>
        <v>539.09193093750002</v>
      </c>
      <c r="X53" s="4">
        <f>$C53*0.334/4</f>
        <v>540.7108256250001</v>
      </c>
      <c r="Y53" s="4">
        <f>$C53*0.334/4</f>
        <v>540.7108256250001</v>
      </c>
      <c r="Z53" s="4">
        <f>$C53*0.334/4</f>
        <v>540.7108256250001</v>
      </c>
      <c r="AA53" s="4">
        <f>$C53*0.334/4</f>
        <v>540.7108256250001</v>
      </c>
      <c r="AB53" s="115">
        <f t="shared" si="12"/>
        <v>6475.5787500000015</v>
      </c>
      <c r="AC53" s="4"/>
    </row>
    <row r="54" spans="1:30" ht="21" customHeight="1" x14ac:dyDescent="0.3">
      <c r="A54" s="54" t="s">
        <v>35</v>
      </c>
      <c r="B54" s="4"/>
      <c r="C54" s="127">
        <v>18480.823162500001</v>
      </c>
      <c r="D54" s="87"/>
      <c r="F54" s="88">
        <v>1373</v>
      </c>
      <c r="L54" s="104"/>
      <c r="N54" s="104"/>
      <c r="O54" s="89">
        <f t="shared" ref="O54:Z54" si="15">($C$54-$F$54)/12</f>
        <v>1425.6519302083334</v>
      </c>
      <c r="P54" s="4">
        <f t="shared" si="15"/>
        <v>1425.6519302083334</v>
      </c>
      <c r="Q54" s="4">
        <f t="shared" si="15"/>
        <v>1425.6519302083334</v>
      </c>
      <c r="R54" s="4">
        <f t="shared" si="15"/>
        <v>1425.6519302083334</v>
      </c>
      <c r="S54" s="4">
        <f t="shared" si="15"/>
        <v>1425.6519302083334</v>
      </c>
      <c r="T54" s="88">
        <f>($C$54-$F$54)/12</f>
        <v>1425.6519302083334</v>
      </c>
      <c r="U54" s="88">
        <f t="shared" si="15"/>
        <v>1425.6519302083334</v>
      </c>
      <c r="V54" s="88">
        <f t="shared" si="15"/>
        <v>1425.6519302083334</v>
      </c>
      <c r="W54" s="88">
        <f t="shared" si="15"/>
        <v>1425.6519302083334</v>
      </c>
      <c r="X54" s="4">
        <f t="shared" si="15"/>
        <v>1425.6519302083334</v>
      </c>
      <c r="Y54" s="4">
        <f t="shared" si="15"/>
        <v>1425.6519302083334</v>
      </c>
      <c r="Z54" s="4">
        <f t="shared" si="15"/>
        <v>1425.6519302083334</v>
      </c>
      <c r="AB54" s="115">
        <f t="shared" si="12"/>
        <v>18480.823162499993</v>
      </c>
      <c r="AC54" s="4"/>
    </row>
    <row r="55" spans="1:30" ht="21" customHeight="1" x14ac:dyDescent="0.3">
      <c r="A55" s="54" t="s">
        <v>78</v>
      </c>
      <c r="B55" s="4"/>
      <c r="C55" s="127">
        <v>6071.378925</v>
      </c>
      <c r="D55" s="87"/>
      <c r="F55" s="88">
        <v>388</v>
      </c>
      <c r="L55" s="104">
        <f t="shared" ref="L55:V55" si="16">($C$55-$F$55)/11</f>
        <v>516.6708113636364</v>
      </c>
      <c r="M55" s="104">
        <f t="shared" si="16"/>
        <v>516.6708113636364</v>
      </c>
      <c r="N55" s="104">
        <f t="shared" si="16"/>
        <v>516.6708113636364</v>
      </c>
      <c r="O55" s="104">
        <f t="shared" si="16"/>
        <v>516.6708113636364</v>
      </c>
      <c r="P55" s="4">
        <f t="shared" si="16"/>
        <v>516.6708113636364</v>
      </c>
      <c r="Q55" s="4">
        <f t="shared" si="16"/>
        <v>516.6708113636364</v>
      </c>
      <c r="R55" s="4">
        <f t="shared" si="16"/>
        <v>516.6708113636364</v>
      </c>
      <c r="S55" s="4">
        <f>($C$55-$F$55)/11</f>
        <v>516.6708113636364</v>
      </c>
      <c r="T55" s="88">
        <f t="shared" si="16"/>
        <v>516.6708113636364</v>
      </c>
      <c r="U55" s="88">
        <f t="shared" si="16"/>
        <v>516.6708113636364</v>
      </c>
      <c r="V55" s="88">
        <f t="shared" si="16"/>
        <v>516.6708113636364</v>
      </c>
      <c r="W55" s="88"/>
      <c r="AB55" s="115">
        <f t="shared" si="12"/>
        <v>6071.3789249999991</v>
      </c>
      <c r="AC55" s="4"/>
    </row>
    <row r="56" spans="1:30" x14ac:dyDescent="0.3">
      <c r="A56" s="97"/>
      <c r="B56" s="57" t="s">
        <v>3</v>
      </c>
      <c r="C56" s="130">
        <f>SUM(C49:C55)</f>
        <v>56325.927775000004</v>
      </c>
      <c r="T56" s="88"/>
      <c r="U56" s="88"/>
      <c r="V56" s="88"/>
      <c r="W56" s="88"/>
      <c r="AB56" s="115"/>
      <c r="AC56" s="115"/>
    </row>
    <row r="57" spans="1:30" ht="15" customHeight="1" x14ac:dyDescent="0.3">
      <c r="A57" s="97"/>
      <c r="B57" s="83" t="s">
        <v>110</v>
      </c>
      <c r="C57" s="129">
        <f>C56+C47+C41+C30+C24+C13+C5</f>
        <v>530032.92777499999</v>
      </c>
      <c r="D57" s="88">
        <f>SUM(D2:D55)</f>
        <v>0</v>
      </c>
      <c r="E57" s="88">
        <f t="shared" ref="E57:AB57" si="17">SUM(E2:E55)</f>
        <v>5000</v>
      </c>
      <c r="F57" s="88">
        <f t="shared" si="17"/>
        <v>8421</v>
      </c>
      <c r="G57" s="88">
        <f t="shared" si="17"/>
        <v>0</v>
      </c>
      <c r="H57" s="4">
        <f t="shared" si="17"/>
        <v>11200</v>
      </c>
      <c r="I57" s="4">
        <f t="shared" si="17"/>
        <v>3047.0299999999997</v>
      </c>
      <c r="J57" s="4">
        <f t="shared" si="17"/>
        <v>19333.333333333332</v>
      </c>
      <c r="K57" s="4">
        <f t="shared" si="17"/>
        <v>20242</v>
      </c>
      <c r="L57" s="89">
        <f t="shared" si="17"/>
        <v>3712.5041446969694</v>
      </c>
      <c r="M57" s="89">
        <f t="shared" si="17"/>
        <v>3701.2008113636361</v>
      </c>
      <c r="N57" s="89">
        <f t="shared" si="17"/>
        <v>138659.75414469698</v>
      </c>
      <c r="O57" s="89">
        <f t="shared" si="17"/>
        <v>80421.267433209592</v>
      </c>
      <c r="P57" s="4">
        <f t="shared" si="17"/>
        <v>50352.064025188047</v>
      </c>
      <c r="Q57" s="4">
        <f t="shared" si="17"/>
        <v>41577.704833114876</v>
      </c>
      <c r="R57" s="4">
        <f t="shared" si="17"/>
        <v>28946.027358521373</v>
      </c>
      <c r="S57" s="4">
        <f t="shared" si="17"/>
        <v>30122.32117030237</v>
      </c>
      <c r="T57" s="88">
        <f t="shared" si="17"/>
        <v>22345.93902518804</v>
      </c>
      <c r="U57" s="88">
        <f t="shared" si="17"/>
        <v>23754.079833114869</v>
      </c>
      <c r="V57" s="88">
        <f t="shared" si="17"/>
        <v>10158.443787092803</v>
      </c>
      <c r="W57" s="88">
        <f t="shared" si="17"/>
        <v>8598.2874750101619</v>
      </c>
      <c r="X57" s="4">
        <f t="shared" si="17"/>
        <v>5406.5070683333333</v>
      </c>
      <c r="Y57" s="4">
        <f t="shared" si="17"/>
        <v>7413.5004021747973</v>
      </c>
      <c r="Z57" s="4">
        <f t="shared" si="17"/>
        <v>5580.3210891666668</v>
      </c>
      <c r="AA57" s="4">
        <f t="shared" si="17"/>
        <v>2039.410411920732</v>
      </c>
      <c r="AB57" s="29">
        <f t="shared" si="17"/>
        <v>530032.69634642859</v>
      </c>
    </row>
    <row r="58" spans="1:30" x14ac:dyDescent="0.3">
      <c r="A58" s="6"/>
      <c r="B58" s="90"/>
      <c r="C58" s="32"/>
      <c r="T58" s="88"/>
      <c r="U58" s="88"/>
      <c r="V58" s="88"/>
      <c r="W58" s="88"/>
    </row>
    <row r="59" spans="1:30" x14ac:dyDescent="0.3">
      <c r="A59" s="90"/>
      <c r="L59" s="4"/>
      <c r="M59" s="4"/>
      <c r="N59" s="4"/>
      <c r="O59" s="4"/>
    </row>
    <row r="60" spans="1:30" x14ac:dyDescent="0.3">
      <c r="A60" s="35" t="s">
        <v>111</v>
      </c>
      <c r="B60" s="33"/>
      <c r="C60" s="64" t="s">
        <v>27</v>
      </c>
      <c r="D60" s="118" t="s">
        <v>28</v>
      </c>
      <c r="E60" s="118" t="s">
        <v>29</v>
      </c>
      <c r="F60" s="34" t="s">
        <v>3</v>
      </c>
      <c r="J60" s="6"/>
      <c r="L60" s="4"/>
      <c r="M60" s="4"/>
      <c r="N60" s="4"/>
      <c r="O60" s="4"/>
      <c r="AC60" s="121">
        <v>68900</v>
      </c>
      <c r="AD60" s="121">
        <v>5000</v>
      </c>
    </row>
    <row r="61" spans="1:30" x14ac:dyDescent="0.3">
      <c r="A61" s="65" t="s">
        <v>30</v>
      </c>
      <c r="B61" s="86">
        <v>3010.3192307692307</v>
      </c>
      <c r="C61" s="66">
        <v>1412.4260384615384</v>
      </c>
      <c r="D61" s="147">
        <v>857.94098076923058</v>
      </c>
      <c r="E61" s="148">
        <v>5280.6862499999997</v>
      </c>
      <c r="F61" s="36"/>
      <c r="G61" s="37"/>
      <c r="J61" s="6"/>
      <c r="L61" s="4"/>
      <c r="M61" s="4"/>
      <c r="N61" s="4"/>
      <c r="O61" s="4"/>
      <c r="AC61" s="121">
        <v>160448</v>
      </c>
      <c r="AD61" s="123">
        <v>8421</v>
      </c>
    </row>
    <row r="62" spans="1:30" x14ac:dyDescent="0.3">
      <c r="A62" s="119" t="s">
        <v>52</v>
      </c>
      <c r="B62" s="86">
        <v>5946.6161538461538</v>
      </c>
      <c r="C62" s="66">
        <v>2789.7679923076921</v>
      </c>
      <c r="D62" s="147">
        <v>1694.7856038461539</v>
      </c>
      <c r="E62" s="148">
        <v>10431.169750000001</v>
      </c>
      <c r="F62" s="36"/>
      <c r="G62" s="37"/>
      <c r="J62" s="6"/>
      <c r="L62" s="4"/>
      <c r="M62" s="4"/>
      <c r="N62" s="4"/>
      <c r="O62" s="4"/>
      <c r="AC62" s="121">
        <v>70573</v>
      </c>
      <c r="AD62" s="123"/>
    </row>
    <row r="63" spans="1:30" x14ac:dyDescent="0.3">
      <c r="A63" s="119" t="s">
        <v>61</v>
      </c>
      <c r="B63" s="86">
        <v>1254.6586538461538</v>
      </c>
      <c r="C63" s="66">
        <v>589.6895673076923</v>
      </c>
      <c r="D63" s="147">
        <v>357.57771634615381</v>
      </c>
      <c r="E63" s="148">
        <v>2201.9259375000001</v>
      </c>
      <c r="F63" s="36"/>
      <c r="G63" s="37"/>
      <c r="J63" s="6"/>
      <c r="L63" s="4"/>
      <c r="M63" s="4"/>
      <c r="N63" s="4"/>
      <c r="O63" s="4"/>
      <c r="AC63" s="121">
        <v>117091</v>
      </c>
      <c r="AD63" s="124">
        <v>11200</v>
      </c>
    </row>
    <row r="64" spans="1:30" x14ac:dyDescent="0.3">
      <c r="A64" s="67" t="s">
        <v>105</v>
      </c>
      <c r="B64" s="86">
        <v>4207.6153846153848</v>
      </c>
      <c r="C64" s="66">
        <v>1977.5792307692309</v>
      </c>
      <c r="D64" s="147">
        <v>1199.1703846153846</v>
      </c>
      <c r="E64" s="148">
        <v>7384.3649999999998</v>
      </c>
      <c r="F64" s="36"/>
      <c r="G64" s="37"/>
      <c r="J64" s="6"/>
      <c r="L64" s="4"/>
      <c r="M64" s="4"/>
      <c r="N64" s="4"/>
      <c r="O64" s="4"/>
      <c r="AC64" s="121">
        <v>40650</v>
      </c>
      <c r="AD64" s="124"/>
    </row>
    <row r="65" spans="1:30" x14ac:dyDescent="0.3">
      <c r="A65" s="119" t="s">
        <v>107</v>
      </c>
      <c r="B65" s="86">
        <v>3689.7884615384619</v>
      </c>
      <c r="C65" s="66">
        <v>1734.2005769230768</v>
      </c>
      <c r="D65" s="147">
        <v>1051.5897115384614</v>
      </c>
      <c r="E65" s="148">
        <v>6475.5787500000006</v>
      </c>
      <c r="F65" s="36"/>
      <c r="G65" s="37"/>
      <c r="J65" s="6"/>
      <c r="L65" s="4"/>
      <c r="M65" s="4"/>
      <c r="N65" s="4"/>
      <c r="O65" s="4"/>
      <c r="AC65" s="121">
        <v>16045</v>
      </c>
      <c r="AD65" s="121">
        <v>3047</v>
      </c>
    </row>
    <row r="66" spans="1:30" x14ac:dyDescent="0.3">
      <c r="A66" s="65" t="s">
        <v>35</v>
      </c>
      <c r="B66" s="86">
        <v>10551.482884615385</v>
      </c>
      <c r="C66" s="68">
        <v>4922.1676557692308</v>
      </c>
      <c r="D66" s="147">
        <v>3007.172622115384</v>
      </c>
      <c r="E66" s="148">
        <v>18480.823162500001</v>
      </c>
      <c r="F66" s="36"/>
      <c r="G66" s="37"/>
      <c r="J66" s="6"/>
      <c r="L66" s="4"/>
      <c r="M66" s="4"/>
      <c r="N66" s="4"/>
      <c r="O66" s="4"/>
      <c r="AC66" s="121">
        <v>52896</v>
      </c>
      <c r="AD66" s="121">
        <v>19333</v>
      </c>
    </row>
    <row r="67" spans="1:30" x14ac:dyDescent="0.3">
      <c r="A67" s="65" t="s">
        <v>78</v>
      </c>
      <c r="B67" s="86">
        <v>3464.1919230769236</v>
      </c>
      <c r="C67" s="66">
        <v>1619.8923038461537</v>
      </c>
      <c r="D67" s="147">
        <v>987.29469807692317</v>
      </c>
      <c r="E67" s="148">
        <v>6071.378925</v>
      </c>
      <c r="F67" s="36"/>
      <c r="G67" s="37"/>
      <c r="J67" s="6"/>
      <c r="L67" s="4"/>
      <c r="M67" s="4"/>
      <c r="N67" s="4"/>
      <c r="O67" s="4"/>
      <c r="AC67" s="122">
        <f>SUM(AC60:AC66)</f>
        <v>526603</v>
      </c>
      <c r="AD67" s="121">
        <v>20243</v>
      </c>
    </row>
    <row r="68" spans="1:30" x14ac:dyDescent="0.3">
      <c r="B68" s="86">
        <v>32124.672692307697</v>
      </c>
      <c r="C68" s="66">
        <v>15045.723365384616</v>
      </c>
      <c r="D68" s="147">
        <v>9155.531717307691</v>
      </c>
      <c r="E68" s="148">
        <v>56325.927775000004</v>
      </c>
      <c r="F68" s="36"/>
      <c r="G68" s="37"/>
      <c r="J68" s="6"/>
      <c r="L68" s="4"/>
      <c r="M68" s="4"/>
      <c r="N68" s="4"/>
      <c r="O68" s="4"/>
      <c r="AC68" s="29"/>
      <c r="AD68" s="121">
        <v>3713</v>
      </c>
    </row>
    <row r="69" spans="1:30" x14ac:dyDescent="0.3">
      <c r="A69" s="65"/>
      <c r="B69" s="35"/>
      <c r="C69" s="69"/>
      <c r="D69" s="120"/>
      <c r="E69" s="120"/>
      <c r="F69" s="120"/>
      <c r="G69" s="37"/>
      <c r="J69" s="6"/>
      <c r="L69" s="4"/>
      <c r="M69" s="4"/>
      <c r="N69" s="4"/>
      <c r="O69" s="4"/>
      <c r="AC69" s="29"/>
      <c r="AD69" s="121">
        <v>3701</v>
      </c>
    </row>
    <row r="70" spans="1:30" x14ac:dyDescent="0.3">
      <c r="A70" s="35"/>
      <c r="B70" s="131"/>
      <c r="C70" s="35"/>
      <c r="D70" s="81"/>
      <c r="E70" s="81"/>
      <c r="F70" s="81"/>
      <c r="G70" s="81"/>
      <c r="J70" s="6"/>
      <c r="L70" s="4"/>
      <c r="M70" s="4"/>
      <c r="N70" s="4"/>
      <c r="O70" s="4"/>
      <c r="AC70" s="29"/>
      <c r="AD70" s="121">
        <v>138660</v>
      </c>
    </row>
    <row r="71" spans="1:30" x14ac:dyDescent="0.3">
      <c r="A71" s="35"/>
      <c r="B71" s="35"/>
      <c r="C71" s="35"/>
      <c r="D71" s="81"/>
      <c r="E71" s="81"/>
      <c r="F71" s="81"/>
      <c r="G71" s="81"/>
      <c r="J71" s="6"/>
      <c r="L71" s="4"/>
      <c r="M71" s="4"/>
      <c r="N71" s="4"/>
      <c r="O71" s="4"/>
      <c r="AC71" s="29"/>
      <c r="AD71" s="121">
        <v>80311</v>
      </c>
    </row>
    <row r="72" spans="1:30" x14ac:dyDescent="0.3">
      <c r="A72" s="35"/>
      <c r="B72" s="35"/>
      <c r="C72" s="35"/>
      <c r="D72" s="81"/>
      <c r="E72" s="81"/>
      <c r="F72" s="81"/>
      <c r="G72" s="81"/>
      <c r="J72" s="6"/>
      <c r="L72" s="4"/>
      <c r="M72" s="4"/>
      <c r="N72" s="4"/>
      <c r="O72" s="4"/>
      <c r="AC72" s="29"/>
      <c r="AD72" s="121">
        <v>50090</v>
      </c>
    </row>
    <row r="73" spans="1:30" s="139" customFormat="1" x14ac:dyDescent="0.3">
      <c r="A73" s="65" t="s">
        <v>33</v>
      </c>
      <c r="B73" s="81"/>
      <c r="C73" s="66">
        <v>21465</v>
      </c>
      <c r="D73" s="144"/>
      <c r="E73" s="144"/>
      <c r="F73" s="81"/>
      <c r="G73" s="81"/>
      <c r="H73" s="142"/>
      <c r="I73" s="142"/>
      <c r="J73" s="145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C73" s="146"/>
      <c r="AD73" s="121">
        <v>41304</v>
      </c>
    </row>
    <row r="74" spans="1:30" s="139" customFormat="1" x14ac:dyDescent="0.3">
      <c r="A74" s="65" t="s">
        <v>36</v>
      </c>
      <c r="B74" s="81"/>
      <c r="C74" s="66">
        <v>18245.252206730769</v>
      </c>
      <c r="D74" s="81"/>
      <c r="E74" s="81"/>
      <c r="F74" s="81"/>
      <c r="G74" s="81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C74" s="146"/>
      <c r="AD74" s="121">
        <v>28684</v>
      </c>
    </row>
    <row r="75" spans="1:30" x14ac:dyDescent="0.3">
      <c r="A75" s="35"/>
      <c r="B75" s="35"/>
      <c r="C75" s="35"/>
      <c r="D75" s="81"/>
      <c r="E75" s="81"/>
      <c r="F75" s="81"/>
      <c r="G75" s="81"/>
      <c r="L75" s="4"/>
      <c r="M75" s="4"/>
      <c r="N75" s="4"/>
      <c r="O75" s="4"/>
      <c r="AC75" s="29"/>
      <c r="AD75" s="121">
        <v>29775</v>
      </c>
    </row>
    <row r="76" spans="1:30" x14ac:dyDescent="0.3">
      <c r="A76" s="35"/>
      <c r="B76" s="35"/>
      <c r="C76" s="35"/>
      <c r="D76" s="81"/>
      <c r="E76" s="81"/>
      <c r="F76" s="81"/>
      <c r="G76" s="81"/>
      <c r="L76" s="4"/>
      <c r="M76" s="4"/>
      <c r="N76" s="4"/>
      <c r="O76" s="4"/>
      <c r="AC76" s="29"/>
      <c r="AD76" s="121">
        <v>22084</v>
      </c>
    </row>
    <row r="77" spans="1:30" x14ac:dyDescent="0.3">
      <c r="A77" s="47"/>
      <c r="B77" s="48"/>
      <c r="C77" s="35"/>
      <c r="D77" s="81"/>
      <c r="E77" s="81"/>
      <c r="F77" s="81"/>
      <c r="G77" s="81"/>
      <c r="L77" s="4"/>
      <c r="M77" s="4"/>
      <c r="N77" s="4"/>
      <c r="O77" s="4"/>
      <c r="AC77" s="29"/>
      <c r="AD77" s="121">
        <v>23481</v>
      </c>
    </row>
    <row r="78" spans="1:30" x14ac:dyDescent="0.3">
      <c r="A78" s="35"/>
      <c r="B78" s="82"/>
      <c r="C78" s="35"/>
      <c r="D78" s="81"/>
      <c r="E78" s="81"/>
      <c r="F78" s="81"/>
      <c r="G78" s="81"/>
      <c r="L78" s="4"/>
      <c r="M78" s="4"/>
      <c r="N78" s="4"/>
      <c r="O78" s="4"/>
      <c r="AC78" s="29"/>
      <c r="AD78" s="121">
        <v>9896</v>
      </c>
    </row>
    <row r="79" spans="1:30" x14ac:dyDescent="0.3">
      <c r="D79" s="4"/>
      <c r="E79" s="4"/>
      <c r="F79" s="4"/>
      <c r="G79" s="4"/>
      <c r="L79" s="4"/>
      <c r="M79" s="4"/>
      <c r="N79" s="4"/>
      <c r="O79" s="4"/>
      <c r="AC79" s="29"/>
      <c r="AD79" s="121">
        <v>8251</v>
      </c>
    </row>
    <row r="80" spans="1:30" x14ac:dyDescent="0.3">
      <c r="D80" s="4"/>
      <c r="E80" s="4"/>
      <c r="F80" s="4"/>
      <c r="G80" s="4"/>
      <c r="L80" s="4"/>
      <c r="M80" s="4"/>
      <c r="N80" s="4"/>
      <c r="O80" s="4"/>
      <c r="AC80" s="29"/>
      <c r="AD80" s="121">
        <v>5144</v>
      </c>
    </row>
    <row r="81" spans="4:30" x14ac:dyDescent="0.3">
      <c r="D81" s="4"/>
      <c r="E81" s="4"/>
      <c r="F81" s="4"/>
      <c r="G81" s="4"/>
      <c r="L81" s="4"/>
      <c r="M81" s="4"/>
      <c r="N81" s="4"/>
      <c r="O81" s="4"/>
      <c r="AC81" s="29"/>
      <c r="AD81" s="121">
        <v>7142</v>
      </c>
    </row>
    <row r="82" spans="4:30" x14ac:dyDescent="0.3">
      <c r="D82" s="4"/>
      <c r="E82" s="4"/>
      <c r="F82" s="4"/>
      <c r="G82" s="4"/>
      <c r="L82" s="4"/>
      <c r="M82" s="4"/>
      <c r="N82" s="4"/>
      <c r="O82" s="4"/>
      <c r="AC82" s="29"/>
      <c r="AD82" s="121">
        <v>5318</v>
      </c>
    </row>
    <row r="83" spans="4:30" x14ac:dyDescent="0.3">
      <c r="D83" s="4"/>
      <c r="E83" s="4"/>
      <c r="F83" s="4"/>
      <c r="G83" s="4"/>
      <c r="L83" s="4"/>
      <c r="M83" s="4"/>
      <c r="N83" s="4"/>
      <c r="O83" s="4"/>
      <c r="AC83" s="29"/>
      <c r="AD83" s="121">
        <v>1805</v>
      </c>
    </row>
    <row r="84" spans="4:30" x14ac:dyDescent="0.3">
      <c r="D84" s="4"/>
      <c r="E84" s="4"/>
      <c r="F84" s="4"/>
      <c r="G84" s="4"/>
      <c r="L84" s="4"/>
      <c r="M84" s="4"/>
      <c r="N84" s="4"/>
      <c r="O84" s="4"/>
      <c r="AC84" s="29"/>
      <c r="AD84" s="122">
        <f>SUM(AD60:AD83)</f>
        <v>526603</v>
      </c>
    </row>
    <row r="85" spans="4:30" x14ac:dyDescent="0.3">
      <c r="D85" s="4"/>
      <c r="E85" s="4"/>
      <c r="F85" s="4"/>
      <c r="G85" s="4"/>
      <c r="L85" s="4"/>
      <c r="M85" s="4"/>
      <c r="N85" s="4"/>
      <c r="O85" s="4"/>
    </row>
    <row r="86" spans="4:30" x14ac:dyDescent="0.3">
      <c r="D86" s="4"/>
      <c r="E86" s="4"/>
      <c r="F86" s="4"/>
      <c r="G86" s="4"/>
      <c r="L86" s="4"/>
      <c r="M86" s="4"/>
      <c r="N86" s="4"/>
      <c r="O86" s="4"/>
    </row>
    <row r="87" spans="4:30" x14ac:dyDescent="0.3">
      <c r="D87" s="4"/>
      <c r="E87" s="4"/>
      <c r="F87" s="4"/>
      <c r="G87" s="4"/>
      <c r="L87" s="4"/>
      <c r="M87" s="4"/>
      <c r="N87" s="4"/>
      <c r="O87" s="4"/>
    </row>
    <row r="88" spans="4:30" x14ac:dyDescent="0.3">
      <c r="D88" s="4"/>
      <c r="E88" s="4"/>
      <c r="F88" s="4"/>
      <c r="G88" s="4"/>
      <c r="L88" s="4"/>
      <c r="M88" s="4"/>
      <c r="N88" s="4"/>
      <c r="O88" s="4"/>
    </row>
    <row r="89" spans="4:30" x14ac:dyDescent="0.3">
      <c r="D89" s="4"/>
      <c r="E89" s="4"/>
      <c r="F89" s="4"/>
      <c r="G89" s="4"/>
      <c r="L89" s="4"/>
      <c r="M89" s="4"/>
      <c r="N89" s="4"/>
      <c r="O89" s="4"/>
    </row>
    <row r="90" spans="4:30" x14ac:dyDescent="0.3">
      <c r="D90" s="4"/>
      <c r="E90" s="4"/>
      <c r="F90" s="4"/>
      <c r="G90" s="4"/>
      <c r="L90" s="4"/>
      <c r="M90" s="4"/>
      <c r="N90" s="4"/>
      <c r="O90" s="4"/>
    </row>
    <row r="91" spans="4:30" x14ac:dyDescent="0.3">
      <c r="D91" s="4"/>
      <c r="E91" s="4"/>
      <c r="F91" s="4"/>
      <c r="G91" s="4"/>
      <c r="L91" s="4"/>
      <c r="M91" s="4"/>
      <c r="N91" s="4"/>
      <c r="O91" s="4"/>
    </row>
    <row r="92" spans="4:30" x14ac:dyDescent="0.3">
      <c r="D92" s="4"/>
      <c r="E92" s="4"/>
      <c r="F92" s="4"/>
      <c r="G92" s="4"/>
      <c r="L92" s="4"/>
      <c r="M92" s="4"/>
      <c r="N92" s="4"/>
      <c r="O92" s="4"/>
    </row>
    <row r="93" spans="4:30" x14ac:dyDescent="0.3">
      <c r="D93" s="4"/>
      <c r="E93" s="4"/>
      <c r="F93" s="4"/>
      <c r="G93" s="4"/>
      <c r="L93" s="4"/>
      <c r="M93" s="4"/>
      <c r="N93" s="4"/>
      <c r="O93" s="4"/>
    </row>
    <row r="94" spans="4:30" x14ac:dyDescent="0.3">
      <c r="D94" s="4"/>
      <c r="E94" s="4"/>
      <c r="F94" s="4"/>
      <c r="G94" s="4"/>
      <c r="L94" s="4"/>
      <c r="M94" s="4"/>
      <c r="N94" s="4"/>
      <c r="O94" s="4"/>
    </row>
    <row r="95" spans="4:30" x14ac:dyDescent="0.3">
      <c r="D95" s="4"/>
      <c r="E95" s="4"/>
      <c r="F95" s="4"/>
      <c r="G95" s="4"/>
      <c r="L95" s="4"/>
      <c r="M95" s="4"/>
      <c r="N95" s="4"/>
      <c r="O95" s="4"/>
    </row>
    <row r="96" spans="4:30" x14ac:dyDescent="0.3">
      <c r="D96" s="4"/>
      <c r="E96" s="4"/>
      <c r="F96" s="4"/>
      <c r="G96" s="4"/>
      <c r="L96" s="4"/>
      <c r="M96" s="4"/>
      <c r="N96" s="4"/>
      <c r="O96" s="4"/>
    </row>
    <row r="97" spans="4:15" x14ac:dyDescent="0.3">
      <c r="D97" s="4"/>
      <c r="E97" s="4"/>
      <c r="F97" s="4"/>
      <c r="G97" s="4"/>
      <c r="L97" s="4"/>
      <c r="M97" s="4"/>
      <c r="N97" s="4"/>
      <c r="O97" s="4"/>
    </row>
    <row r="98" spans="4:15" x14ac:dyDescent="0.3">
      <c r="D98" s="4"/>
      <c r="E98" s="4"/>
      <c r="F98" s="4"/>
      <c r="G98" s="4"/>
      <c r="L98" s="4"/>
      <c r="M98" s="4"/>
      <c r="N98" s="4"/>
      <c r="O98" s="4"/>
    </row>
    <row r="99" spans="4:15" x14ac:dyDescent="0.3">
      <c r="D99" s="4"/>
      <c r="E99" s="4"/>
      <c r="F99" s="4"/>
      <c r="G99" s="4"/>
      <c r="L99" s="4"/>
      <c r="M99" s="4"/>
      <c r="N99" s="4"/>
      <c r="O99" s="4"/>
    </row>
    <row r="100" spans="4:15" x14ac:dyDescent="0.3">
      <c r="D100" s="4"/>
      <c r="E100" s="4"/>
      <c r="F100" s="4"/>
      <c r="G100" s="4"/>
      <c r="L100" s="4"/>
      <c r="M100" s="4"/>
      <c r="N100" s="4"/>
      <c r="O100" s="4"/>
    </row>
    <row r="101" spans="4:15" x14ac:dyDescent="0.3">
      <c r="D101" s="4"/>
      <c r="E101" s="4"/>
      <c r="F101" s="4"/>
      <c r="G101" s="4"/>
      <c r="L101" s="4"/>
      <c r="M101" s="4"/>
      <c r="N101" s="4"/>
      <c r="O101" s="4"/>
    </row>
    <row r="102" spans="4:15" x14ac:dyDescent="0.3">
      <c r="D102" s="4"/>
      <c r="E102" s="4"/>
      <c r="F102" s="4"/>
      <c r="G102" s="4"/>
      <c r="L102" s="4"/>
      <c r="M102" s="4"/>
      <c r="N102" s="4"/>
      <c r="O102" s="4"/>
    </row>
    <row r="103" spans="4:15" x14ac:dyDescent="0.3">
      <c r="D103" s="4"/>
      <c r="E103" s="4"/>
      <c r="F103" s="4"/>
      <c r="G103" s="4"/>
      <c r="L103" s="4"/>
      <c r="M103" s="4"/>
      <c r="N103" s="4"/>
      <c r="O103" s="4"/>
    </row>
    <row r="104" spans="4:15" x14ac:dyDescent="0.3">
      <c r="D104" s="4"/>
      <c r="E104" s="4"/>
      <c r="F104" s="4"/>
      <c r="G104" s="4"/>
      <c r="L104" s="4"/>
      <c r="M104" s="4"/>
      <c r="N104" s="4"/>
      <c r="O104" s="4"/>
    </row>
    <row r="105" spans="4:15" x14ac:dyDescent="0.3">
      <c r="D105" s="4"/>
      <c r="E105" s="4"/>
      <c r="F105" s="4"/>
      <c r="G105" s="4"/>
      <c r="L105" s="4"/>
      <c r="M105" s="4"/>
      <c r="N105" s="4"/>
      <c r="O105" s="4"/>
    </row>
    <row r="106" spans="4:15" x14ac:dyDescent="0.3">
      <c r="D106" s="4"/>
      <c r="E106" s="4"/>
      <c r="F106" s="4"/>
      <c r="G106" s="4"/>
      <c r="L106" s="4"/>
      <c r="M106" s="4"/>
      <c r="N106" s="4"/>
      <c r="O106" s="4"/>
    </row>
    <row r="107" spans="4:15" x14ac:dyDescent="0.3">
      <c r="D107" s="4"/>
      <c r="E107" s="4"/>
      <c r="F107" s="4"/>
      <c r="G107" s="4"/>
      <c r="L107" s="4"/>
      <c r="M107" s="4"/>
      <c r="N107" s="4"/>
      <c r="O107" s="4"/>
    </row>
    <row r="108" spans="4:15" x14ac:dyDescent="0.3">
      <c r="D108" s="4"/>
      <c r="E108" s="4"/>
      <c r="F108" s="4"/>
      <c r="G108" s="4"/>
      <c r="L108" s="4"/>
      <c r="M108" s="4"/>
      <c r="N108" s="4"/>
      <c r="O108" s="4"/>
    </row>
    <row r="109" spans="4:15" x14ac:dyDescent="0.3">
      <c r="D109" s="4"/>
      <c r="E109" s="4"/>
      <c r="F109" s="4"/>
      <c r="G109" s="4"/>
      <c r="L109" s="4"/>
      <c r="M109" s="4"/>
      <c r="N109" s="4"/>
      <c r="O109" s="4"/>
    </row>
    <row r="110" spans="4:15" x14ac:dyDescent="0.3">
      <c r="D110" s="4"/>
      <c r="E110" s="4"/>
      <c r="F110" s="4"/>
      <c r="G110" s="4"/>
      <c r="L110" s="4"/>
      <c r="M110" s="4"/>
      <c r="N110" s="4"/>
      <c r="O110" s="4"/>
    </row>
    <row r="111" spans="4:15" x14ac:dyDescent="0.3">
      <c r="D111" s="4"/>
      <c r="E111" s="4"/>
      <c r="F111" s="4"/>
      <c r="G111" s="4"/>
      <c r="L111" s="4"/>
      <c r="M111" s="4"/>
      <c r="N111" s="4"/>
      <c r="O111" s="4"/>
    </row>
    <row r="112" spans="4:15" x14ac:dyDescent="0.3">
      <c r="D112" s="4"/>
      <c r="E112" s="4"/>
      <c r="F112" s="4"/>
      <c r="G112" s="4"/>
      <c r="L112" s="4"/>
      <c r="M112" s="4"/>
      <c r="N112" s="4"/>
      <c r="O112" s="4"/>
    </row>
    <row r="113" spans="4:15" x14ac:dyDescent="0.3">
      <c r="D113" s="4"/>
      <c r="E113" s="4"/>
      <c r="F113" s="4"/>
      <c r="G113" s="4"/>
      <c r="L113" s="4"/>
      <c r="M113" s="4"/>
      <c r="N113" s="4"/>
      <c r="O113" s="4"/>
    </row>
    <row r="114" spans="4:15" x14ac:dyDescent="0.3">
      <c r="D114" s="4"/>
      <c r="E114" s="4"/>
      <c r="F114" s="4"/>
      <c r="G114" s="4"/>
      <c r="L114" s="4"/>
      <c r="M114" s="4"/>
      <c r="N114" s="4"/>
      <c r="O114" s="4"/>
    </row>
    <row r="115" spans="4:15" x14ac:dyDescent="0.3">
      <c r="D115" s="4"/>
      <c r="E115" s="4"/>
      <c r="F115" s="4"/>
      <c r="G115" s="4"/>
      <c r="L115" s="4"/>
      <c r="M115" s="4"/>
      <c r="N115" s="4"/>
      <c r="O115" s="4"/>
    </row>
    <row r="116" spans="4:15" x14ac:dyDescent="0.3">
      <c r="D116" s="4"/>
      <c r="E116" s="4"/>
      <c r="F116" s="4"/>
      <c r="G116" s="4"/>
      <c r="L116" s="4"/>
      <c r="M116" s="4"/>
      <c r="N116" s="4"/>
      <c r="O116" s="4"/>
    </row>
    <row r="117" spans="4:15" x14ac:dyDescent="0.3">
      <c r="D117" s="4"/>
      <c r="E117" s="4"/>
      <c r="F117" s="4"/>
      <c r="G117" s="4"/>
      <c r="L117" s="4"/>
      <c r="M117" s="4"/>
      <c r="N117" s="4"/>
      <c r="O117" s="4"/>
    </row>
    <row r="118" spans="4:15" x14ac:dyDescent="0.3">
      <c r="D118" s="4"/>
      <c r="E118" s="4"/>
      <c r="F118" s="4"/>
      <c r="G118" s="4"/>
      <c r="L118" s="4"/>
      <c r="M118" s="4"/>
      <c r="N118" s="4"/>
      <c r="O118" s="4"/>
    </row>
    <row r="119" spans="4:15" x14ac:dyDescent="0.3">
      <c r="D119" s="4"/>
      <c r="E119" s="4"/>
      <c r="F119" s="4"/>
      <c r="G119" s="4"/>
      <c r="L119" s="4"/>
      <c r="M119" s="4"/>
      <c r="N119" s="4"/>
      <c r="O119" s="4"/>
    </row>
    <row r="120" spans="4:15" x14ac:dyDescent="0.3">
      <c r="D120" s="4"/>
      <c r="E120" s="4"/>
      <c r="F120" s="4"/>
      <c r="G120" s="4"/>
      <c r="L120" s="4"/>
      <c r="M120" s="4"/>
      <c r="N120" s="4"/>
      <c r="O120" s="4"/>
    </row>
    <row r="121" spans="4:15" x14ac:dyDescent="0.3">
      <c r="D121" s="4"/>
      <c r="E121" s="4"/>
      <c r="F121" s="4"/>
      <c r="G121" s="4"/>
      <c r="L121" s="4"/>
      <c r="M121" s="4"/>
      <c r="N121" s="4"/>
      <c r="O121" s="4"/>
    </row>
    <row r="122" spans="4:15" x14ac:dyDescent="0.3">
      <c r="D122" s="4"/>
      <c r="E122" s="4"/>
      <c r="F122" s="4"/>
      <c r="G122" s="4"/>
      <c r="L122" s="4"/>
      <c r="M122" s="4"/>
      <c r="N122" s="4"/>
      <c r="O122" s="4"/>
    </row>
    <row r="123" spans="4:15" x14ac:dyDescent="0.3">
      <c r="D123" s="4"/>
      <c r="E123" s="4"/>
      <c r="F123" s="4"/>
      <c r="G123" s="4"/>
      <c r="L123" s="4"/>
      <c r="M123" s="4"/>
      <c r="N123" s="4"/>
      <c r="O123" s="4"/>
    </row>
    <row r="124" spans="4:15" x14ac:dyDescent="0.3">
      <c r="D124" s="4"/>
      <c r="E124" s="4"/>
      <c r="F124" s="4"/>
      <c r="G124" s="4"/>
      <c r="L124" s="4"/>
      <c r="M124" s="4"/>
      <c r="N124" s="4"/>
      <c r="O124" s="4"/>
    </row>
    <row r="125" spans="4:15" x14ac:dyDescent="0.3">
      <c r="D125" s="4"/>
      <c r="E125" s="4"/>
      <c r="F125" s="4"/>
      <c r="G125" s="4"/>
      <c r="L125" s="4"/>
      <c r="M125" s="4"/>
      <c r="N125" s="4"/>
      <c r="O125" s="4"/>
    </row>
    <row r="126" spans="4:15" x14ac:dyDescent="0.3">
      <c r="D126" s="4"/>
      <c r="E126" s="4"/>
      <c r="F126" s="4"/>
      <c r="G126" s="4"/>
      <c r="L126" s="4"/>
      <c r="M126" s="4"/>
      <c r="N126" s="4"/>
      <c r="O126" s="4"/>
    </row>
    <row r="127" spans="4:15" x14ac:dyDescent="0.3">
      <c r="D127" s="4"/>
      <c r="E127" s="4"/>
      <c r="F127" s="4"/>
      <c r="G127" s="4"/>
      <c r="L127" s="4"/>
      <c r="M127" s="4"/>
      <c r="N127" s="4"/>
      <c r="O127" s="4"/>
    </row>
    <row r="128" spans="4:15" x14ac:dyDescent="0.3">
      <c r="D128" s="4"/>
      <c r="E128" s="4"/>
      <c r="F128" s="4"/>
      <c r="G128" s="4"/>
      <c r="L128" s="4"/>
      <c r="M128" s="4"/>
      <c r="N128" s="4"/>
      <c r="O128" s="4"/>
    </row>
    <row r="129" spans="4:15" x14ac:dyDescent="0.3">
      <c r="D129" s="4"/>
      <c r="E129" s="4"/>
      <c r="F129" s="4"/>
      <c r="G129" s="4"/>
      <c r="L129" s="4"/>
      <c r="M129" s="4"/>
      <c r="N129" s="4"/>
      <c r="O129" s="4"/>
    </row>
    <row r="130" spans="4:15" x14ac:dyDescent="0.3">
      <c r="D130" s="4"/>
      <c r="E130" s="4"/>
      <c r="F130" s="4"/>
      <c r="G130" s="4"/>
      <c r="L130" s="4"/>
      <c r="M130" s="4"/>
      <c r="N130" s="4"/>
      <c r="O130" s="4"/>
    </row>
    <row r="131" spans="4:15" x14ac:dyDescent="0.3">
      <c r="D131" s="4"/>
      <c r="E131" s="4"/>
      <c r="F131" s="4"/>
      <c r="G131" s="4"/>
      <c r="L131" s="4"/>
      <c r="M131" s="4"/>
      <c r="N131" s="4"/>
      <c r="O131" s="4"/>
    </row>
    <row r="132" spans="4:15" x14ac:dyDescent="0.3">
      <c r="D132" s="4"/>
      <c r="E132" s="4"/>
      <c r="F132" s="4"/>
      <c r="G132" s="4"/>
      <c r="L132" s="4"/>
      <c r="M132" s="4"/>
      <c r="N132" s="4"/>
      <c r="O132" s="4"/>
    </row>
    <row r="133" spans="4:15" x14ac:dyDescent="0.3">
      <c r="D133" s="4"/>
      <c r="E133" s="4"/>
      <c r="F133" s="4"/>
      <c r="G133" s="4"/>
      <c r="L133" s="4"/>
      <c r="M133" s="4"/>
      <c r="N133" s="4"/>
      <c r="O133" s="4"/>
    </row>
    <row r="134" spans="4:15" x14ac:dyDescent="0.3">
      <c r="D134" s="4"/>
      <c r="E134" s="4"/>
      <c r="F134" s="4"/>
      <c r="G134" s="4"/>
      <c r="L134" s="4"/>
      <c r="M134" s="4"/>
      <c r="N134" s="4"/>
      <c r="O134" s="4"/>
    </row>
    <row r="135" spans="4:15" x14ac:dyDescent="0.3">
      <c r="D135" s="4"/>
      <c r="E135" s="4"/>
      <c r="F135" s="4"/>
      <c r="G135" s="4"/>
      <c r="L135" s="4"/>
      <c r="M135" s="4"/>
      <c r="N135" s="4"/>
      <c r="O135" s="4"/>
    </row>
    <row r="136" spans="4:15" x14ac:dyDescent="0.3">
      <c r="D136" s="4"/>
      <c r="E136" s="4"/>
      <c r="F136" s="4"/>
      <c r="G136" s="4"/>
      <c r="L136" s="4"/>
      <c r="M136" s="4"/>
      <c r="N136" s="4"/>
      <c r="O136" s="4"/>
    </row>
    <row r="137" spans="4:15" x14ac:dyDescent="0.3">
      <c r="D137" s="4"/>
      <c r="E137" s="4"/>
      <c r="F137" s="4"/>
      <c r="G137" s="4"/>
      <c r="L137" s="4"/>
      <c r="M137" s="4"/>
      <c r="N137" s="4"/>
      <c r="O137" s="4"/>
    </row>
    <row r="138" spans="4:15" x14ac:dyDescent="0.3">
      <c r="D138" s="4"/>
      <c r="E138" s="4"/>
      <c r="F138" s="4"/>
      <c r="G138" s="4"/>
      <c r="L138" s="4"/>
      <c r="M138" s="4"/>
      <c r="N138" s="4"/>
      <c r="O138" s="4"/>
    </row>
    <row r="139" spans="4:15" x14ac:dyDescent="0.3">
      <c r="D139" s="4"/>
      <c r="E139" s="4"/>
      <c r="F139" s="4"/>
      <c r="G139" s="4"/>
      <c r="L139" s="4"/>
      <c r="M139" s="4"/>
      <c r="N139" s="4"/>
      <c r="O139" s="4"/>
    </row>
    <row r="140" spans="4:15" x14ac:dyDescent="0.3">
      <c r="D140" s="4"/>
      <c r="E140" s="4"/>
      <c r="F140" s="4"/>
      <c r="G140" s="4"/>
      <c r="L140" s="4"/>
      <c r="M140" s="4"/>
      <c r="N140" s="4"/>
      <c r="O140" s="4"/>
    </row>
    <row r="141" spans="4:15" x14ac:dyDescent="0.3">
      <c r="D141" s="4"/>
      <c r="E141" s="4"/>
      <c r="F141" s="4"/>
      <c r="G141" s="4"/>
      <c r="L141" s="4"/>
      <c r="M141" s="4"/>
      <c r="N141" s="4"/>
      <c r="O141" s="4"/>
    </row>
    <row r="142" spans="4:15" x14ac:dyDescent="0.3">
      <c r="D142" s="4"/>
      <c r="E142" s="4"/>
      <c r="F142" s="4"/>
      <c r="G142" s="4"/>
      <c r="L142" s="4"/>
      <c r="M142" s="4"/>
      <c r="N142" s="4"/>
      <c r="O142" s="4"/>
    </row>
    <row r="143" spans="4:15" x14ac:dyDescent="0.3">
      <c r="D143" s="4"/>
      <c r="E143" s="4"/>
      <c r="F143" s="4"/>
      <c r="G143" s="4"/>
      <c r="L143" s="4"/>
      <c r="M143" s="4"/>
      <c r="N143" s="4"/>
      <c r="O143" s="4"/>
    </row>
    <row r="144" spans="4:15" x14ac:dyDescent="0.3">
      <c r="D144" s="4"/>
      <c r="E144" s="4"/>
      <c r="F144" s="4"/>
      <c r="G144" s="4"/>
      <c r="L144" s="4"/>
      <c r="M144" s="4"/>
      <c r="N144" s="4"/>
      <c r="O144" s="4"/>
    </row>
    <row r="145" spans="4:15" x14ac:dyDescent="0.3">
      <c r="D145" s="4"/>
      <c r="E145" s="4"/>
      <c r="F145" s="4"/>
      <c r="G145" s="4"/>
      <c r="L145" s="4"/>
      <c r="M145" s="4"/>
      <c r="N145" s="4"/>
      <c r="O145" s="4"/>
    </row>
    <row r="146" spans="4:15" x14ac:dyDescent="0.3">
      <c r="D146" s="4"/>
      <c r="E146" s="4"/>
      <c r="F146" s="4"/>
      <c r="G146" s="4"/>
      <c r="L146" s="4"/>
      <c r="M146" s="4"/>
      <c r="N146" s="4"/>
      <c r="O146" s="4"/>
    </row>
    <row r="147" spans="4:15" x14ac:dyDescent="0.3">
      <c r="D147" s="4"/>
      <c r="E147" s="4"/>
      <c r="F147" s="4"/>
      <c r="G147" s="4"/>
      <c r="L147" s="4"/>
      <c r="M147" s="4"/>
      <c r="N147" s="4"/>
      <c r="O147" s="4"/>
    </row>
    <row r="148" spans="4:15" x14ac:dyDescent="0.3">
      <c r="D148" s="4"/>
      <c r="E148" s="4"/>
      <c r="F148" s="4"/>
      <c r="G148" s="4"/>
      <c r="L148" s="4"/>
      <c r="M148" s="4"/>
      <c r="N148" s="4"/>
      <c r="O148" s="4"/>
    </row>
    <row r="149" spans="4:15" x14ac:dyDescent="0.3">
      <c r="D149" s="4"/>
      <c r="E149" s="4"/>
      <c r="F149" s="4"/>
      <c r="G149" s="4"/>
      <c r="L149" s="4"/>
      <c r="M149" s="4"/>
      <c r="N149" s="4"/>
      <c r="O149" s="4"/>
    </row>
    <row r="150" spans="4:15" x14ac:dyDescent="0.3">
      <c r="D150" s="4"/>
      <c r="E150" s="4"/>
      <c r="F150" s="4"/>
      <c r="G150" s="4"/>
      <c r="L150" s="4"/>
      <c r="M150" s="4"/>
      <c r="N150" s="4"/>
      <c r="O150" s="4"/>
    </row>
    <row r="151" spans="4:15" x14ac:dyDescent="0.3">
      <c r="D151" s="4"/>
      <c r="E151" s="4"/>
      <c r="F151" s="4"/>
      <c r="G151" s="4"/>
      <c r="L151" s="4"/>
      <c r="M151" s="4"/>
      <c r="N151" s="4"/>
      <c r="O151" s="4"/>
    </row>
    <row r="152" spans="4:15" x14ac:dyDescent="0.3">
      <c r="D152" s="4"/>
      <c r="E152" s="4"/>
      <c r="F152" s="4"/>
      <c r="G152" s="4"/>
      <c r="L152" s="4"/>
      <c r="M152" s="4"/>
      <c r="N152" s="4"/>
      <c r="O152" s="4"/>
    </row>
    <row r="153" spans="4:15" x14ac:dyDescent="0.3">
      <c r="D153" s="4"/>
      <c r="E153" s="4"/>
      <c r="F153" s="4"/>
      <c r="G153" s="4"/>
      <c r="L153" s="4"/>
      <c r="M153" s="4"/>
      <c r="N153" s="4"/>
      <c r="O153" s="4"/>
    </row>
    <row r="154" spans="4:15" x14ac:dyDescent="0.3">
      <c r="D154" s="4"/>
      <c r="E154" s="4"/>
      <c r="F154" s="4"/>
      <c r="G154" s="4"/>
      <c r="L154" s="4"/>
      <c r="M154" s="4"/>
      <c r="N154" s="4"/>
      <c r="O154" s="4"/>
    </row>
    <row r="155" spans="4:15" x14ac:dyDescent="0.3">
      <c r="D155" s="4"/>
      <c r="E155" s="4"/>
      <c r="F155" s="4"/>
      <c r="G155" s="4"/>
      <c r="L155" s="4"/>
      <c r="M155" s="4"/>
      <c r="N155" s="4"/>
      <c r="O155" s="4"/>
    </row>
    <row r="156" spans="4:15" x14ac:dyDescent="0.3">
      <c r="D156" s="4"/>
      <c r="E156" s="4"/>
      <c r="F156" s="4"/>
      <c r="G156" s="4"/>
      <c r="L156" s="4"/>
      <c r="M156" s="4"/>
      <c r="N156" s="4"/>
      <c r="O156" s="4"/>
    </row>
    <row r="157" spans="4:15" x14ac:dyDescent="0.3">
      <c r="D157" s="4"/>
      <c r="E157" s="4"/>
      <c r="F157" s="4"/>
      <c r="G157" s="4"/>
      <c r="L157" s="4"/>
      <c r="M157" s="4"/>
      <c r="N157" s="4"/>
      <c r="O157" s="4"/>
    </row>
    <row r="158" spans="4:15" x14ac:dyDescent="0.3">
      <c r="D158" s="4"/>
      <c r="E158" s="4"/>
      <c r="F158" s="4"/>
      <c r="G158" s="4"/>
      <c r="L158" s="4"/>
      <c r="M158" s="4"/>
      <c r="N158" s="4"/>
      <c r="O158" s="4"/>
    </row>
    <row r="159" spans="4:15" x14ac:dyDescent="0.3">
      <c r="D159" s="4"/>
      <c r="E159" s="4"/>
      <c r="F159" s="4"/>
      <c r="G159" s="4"/>
      <c r="L159" s="4"/>
      <c r="M159" s="4"/>
      <c r="N159" s="4"/>
      <c r="O159" s="4"/>
    </row>
    <row r="160" spans="4:15" x14ac:dyDescent="0.3">
      <c r="D160" s="4"/>
      <c r="E160" s="4"/>
      <c r="F160" s="4"/>
      <c r="G160" s="4"/>
      <c r="L160" s="4"/>
      <c r="M160" s="4"/>
      <c r="N160" s="4"/>
      <c r="O160" s="4"/>
    </row>
    <row r="161" spans="4:15" x14ac:dyDescent="0.3">
      <c r="D161" s="4"/>
      <c r="E161" s="4"/>
      <c r="F161" s="4"/>
      <c r="G161" s="4"/>
      <c r="L161" s="4"/>
      <c r="M161" s="4"/>
      <c r="N161" s="4"/>
      <c r="O161" s="4"/>
    </row>
    <row r="162" spans="4:15" x14ac:dyDescent="0.3">
      <c r="D162" s="4"/>
      <c r="E162" s="4"/>
      <c r="F162" s="4"/>
      <c r="G162" s="4"/>
      <c r="L162" s="4"/>
      <c r="M162" s="4"/>
      <c r="N162" s="4"/>
      <c r="O162" s="4"/>
    </row>
    <row r="163" spans="4:15" x14ac:dyDescent="0.3">
      <c r="D163" s="4"/>
      <c r="E163" s="4"/>
      <c r="F163" s="4"/>
      <c r="G163" s="4"/>
      <c r="L163" s="4"/>
      <c r="M163" s="4"/>
      <c r="N163" s="4"/>
      <c r="O163" s="4"/>
    </row>
    <row r="164" spans="4:15" x14ac:dyDescent="0.3">
      <c r="D164" s="4"/>
      <c r="E164" s="4"/>
      <c r="F164" s="4"/>
      <c r="G164" s="4"/>
      <c r="L164" s="4"/>
      <c r="M164" s="4"/>
      <c r="N164" s="4"/>
      <c r="O164" s="4"/>
    </row>
    <row r="165" spans="4:15" x14ac:dyDescent="0.3">
      <c r="D165" s="4"/>
      <c r="E165" s="4"/>
      <c r="F165" s="4"/>
      <c r="G165" s="4"/>
      <c r="L165" s="4"/>
      <c r="M165" s="4"/>
      <c r="N165" s="4"/>
      <c r="O165" s="4"/>
    </row>
    <row r="166" spans="4:15" x14ac:dyDescent="0.3">
      <c r="D166" s="4"/>
      <c r="E166" s="4"/>
      <c r="F166" s="4"/>
      <c r="G166" s="4"/>
      <c r="L166" s="4"/>
      <c r="M166" s="4"/>
      <c r="N166" s="4"/>
      <c r="O166" s="4"/>
    </row>
    <row r="167" spans="4:15" x14ac:dyDescent="0.3">
      <c r="D167" s="4"/>
      <c r="E167" s="4"/>
      <c r="F167" s="4"/>
      <c r="G167" s="4"/>
      <c r="L167" s="4"/>
      <c r="M167" s="4"/>
      <c r="N167" s="4"/>
      <c r="O167" s="4"/>
    </row>
    <row r="168" spans="4:15" x14ac:dyDescent="0.3">
      <c r="D168" s="4"/>
      <c r="E168" s="4"/>
      <c r="F168" s="4"/>
      <c r="G168" s="4"/>
      <c r="L168" s="4"/>
      <c r="M168" s="4"/>
      <c r="N168" s="4"/>
      <c r="O168" s="4"/>
    </row>
    <row r="169" spans="4:15" x14ac:dyDescent="0.3">
      <c r="D169" s="4"/>
      <c r="E169" s="4"/>
      <c r="F169" s="4"/>
      <c r="G169" s="4"/>
      <c r="L169" s="4"/>
      <c r="M169" s="4"/>
      <c r="N169" s="4"/>
      <c r="O169" s="4"/>
    </row>
    <row r="170" spans="4:15" x14ac:dyDescent="0.3">
      <c r="D170" s="4"/>
      <c r="E170" s="4"/>
      <c r="F170" s="4"/>
      <c r="G170" s="4"/>
      <c r="L170" s="4"/>
      <c r="M170" s="4"/>
      <c r="N170" s="4"/>
      <c r="O170" s="4"/>
    </row>
    <row r="171" spans="4:15" x14ac:dyDescent="0.3">
      <c r="D171" s="4"/>
      <c r="E171" s="4"/>
      <c r="F171" s="4"/>
      <c r="G171" s="4"/>
      <c r="L171" s="4"/>
      <c r="M171" s="4"/>
      <c r="N171" s="4"/>
      <c r="O171" s="4"/>
    </row>
    <row r="172" spans="4:15" x14ac:dyDescent="0.3">
      <c r="D172" s="4"/>
      <c r="E172" s="4"/>
      <c r="F172" s="4"/>
      <c r="G172" s="4"/>
      <c r="L172" s="4"/>
      <c r="M172" s="4"/>
      <c r="N172" s="4"/>
      <c r="O172" s="4"/>
    </row>
    <row r="173" spans="4:15" x14ac:dyDescent="0.3">
      <c r="D173" s="4"/>
      <c r="E173" s="4"/>
      <c r="F173" s="4"/>
      <c r="G173" s="4"/>
      <c r="L173" s="4"/>
      <c r="M173" s="4"/>
      <c r="N173" s="4"/>
      <c r="O173" s="4"/>
    </row>
    <row r="174" spans="4:15" x14ac:dyDescent="0.3">
      <c r="D174" s="4"/>
      <c r="E174" s="4"/>
      <c r="F174" s="4"/>
      <c r="G174" s="4"/>
      <c r="L174" s="4"/>
      <c r="M174" s="4"/>
      <c r="N174" s="4"/>
      <c r="O174" s="4"/>
    </row>
    <row r="175" spans="4:15" x14ac:dyDescent="0.3">
      <c r="D175" s="4"/>
      <c r="E175" s="4"/>
      <c r="F175" s="4"/>
      <c r="G175" s="4"/>
      <c r="L175" s="4"/>
      <c r="M175" s="4"/>
      <c r="N175" s="4"/>
      <c r="O175" s="4"/>
    </row>
    <row r="176" spans="4:15" x14ac:dyDescent="0.3">
      <c r="D176" s="4"/>
      <c r="E176" s="4"/>
      <c r="F176" s="4"/>
      <c r="G176" s="4"/>
      <c r="L176" s="4"/>
      <c r="M176" s="4"/>
      <c r="N176" s="4"/>
      <c r="O176" s="4"/>
    </row>
    <row r="177" spans="4:15" x14ac:dyDescent="0.3">
      <c r="D177" s="4"/>
      <c r="E177" s="4"/>
      <c r="F177" s="4"/>
      <c r="G177" s="4"/>
      <c r="L177" s="4"/>
      <c r="M177" s="4"/>
      <c r="N177" s="4"/>
      <c r="O177" s="4"/>
    </row>
    <row r="178" spans="4:15" x14ac:dyDescent="0.3">
      <c r="D178" s="4"/>
      <c r="E178" s="4"/>
      <c r="F178" s="4"/>
      <c r="G178" s="4"/>
      <c r="L178" s="4"/>
      <c r="M178" s="4"/>
      <c r="N178" s="4"/>
      <c r="O178" s="4"/>
    </row>
    <row r="179" spans="4:15" x14ac:dyDescent="0.3">
      <c r="D179" s="4"/>
      <c r="E179" s="4"/>
      <c r="F179" s="4"/>
      <c r="G179" s="4"/>
      <c r="L179" s="4"/>
      <c r="M179" s="4"/>
      <c r="N179" s="4"/>
      <c r="O179" s="4"/>
    </row>
    <row r="180" spans="4:15" x14ac:dyDescent="0.3">
      <c r="D180" s="4"/>
      <c r="E180" s="4"/>
      <c r="F180" s="4"/>
      <c r="G180" s="4"/>
      <c r="L180" s="4"/>
      <c r="M180" s="4"/>
      <c r="N180" s="4"/>
      <c r="O180" s="4"/>
    </row>
    <row r="181" spans="4:15" x14ac:dyDescent="0.3">
      <c r="D181" s="4"/>
      <c r="E181" s="4"/>
      <c r="F181" s="4"/>
      <c r="G181" s="4"/>
      <c r="L181" s="4"/>
      <c r="M181" s="4"/>
      <c r="N181" s="4"/>
      <c r="O181" s="4"/>
    </row>
    <row r="182" spans="4:15" x14ac:dyDescent="0.3">
      <c r="D182" s="4"/>
      <c r="E182" s="4"/>
      <c r="F182" s="4"/>
      <c r="G182" s="4"/>
      <c r="L182" s="4"/>
      <c r="M182" s="4"/>
      <c r="N182" s="4"/>
      <c r="O182" s="4"/>
    </row>
    <row r="183" spans="4:15" x14ac:dyDescent="0.3">
      <c r="D183" s="4"/>
      <c r="E183" s="4"/>
      <c r="F183" s="4"/>
      <c r="G183" s="4"/>
      <c r="L183" s="4"/>
      <c r="M183" s="4"/>
      <c r="N183" s="4"/>
      <c r="O183" s="4"/>
    </row>
    <row r="184" spans="4:15" x14ac:dyDescent="0.3">
      <c r="D184" s="4"/>
      <c r="E184" s="4"/>
      <c r="F184" s="4"/>
      <c r="G184" s="4"/>
      <c r="L184" s="4"/>
      <c r="M184" s="4"/>
      <c r="N184" s="4"/>
      <c r="O184" s="4"/>
    </row>
    <row r="185" spans="4:15" x14ac:dyDescent="0.3">
      <c r="D185" s="4"/>
      <c r="E185" s="4"/>
      <c r="F185" s="4"/>
      <c r="G185" s="4"/>
      <c r="L185" s="4"/>
      <c r="M185" s="4"/>
      <c r="N185" s="4"/>
      <c r="O185" s="4"/>
    </row>
    <row r="186" spans="4:15" x14ac:dyDescent="0.3">
      <c r="D186" s="4"/>
      <c r="E186" s="4"/>
      <c r="F186" s="4"/>
      <c r="G186" s="4"/>
      <c r="L186" s="4"/>
      <c r="M186" s="4"/>
      <c r="N186" s="4"/>
      <c r="O186" s="4"/>
    </row>
    <row r="187" spans="4:15" x14ac:dyDescent="0.3">
      <c r="D187" s="4"/>
      <c r="E187" s="4"/>
      <c r="F187" s="4"/>
      <c r="G187" s="4"/>
      <c r="L187" s="4"/>
      <c r="M187" s="4"/>
      <c r="N187" s="4"/>
      <c r="O187" s="4"/>
    </row>
    <row r="188" spans="4:15" x14ac:dyDescent="0.3">
      <c r="D188" s="4"/>
      <c r="E188" s="4"/>
      <c r="F188" s="4"/>
      <c r="G188" s="4"/>
      <c r="L188" s="4"/>
      <c r="M188" s="4"/>
      <c r="N188" s="4"/>
      <c r="O188" s="4"/>
    </row>
    <row r="189" spans="4:15" x14ac:dyDescent="0.3">
      <c r="D189" s="4"/>
      <c r="E189" s="4"/>
      <c r="F189" s="4"/>
      <c r="G189" s="4"/>
      <c r="L189" s="4"/>
      <c r="M189" s="4"/>
      <c r="N189" s="4"/>
      <c r="O189" s="4"/>
    </row>
    <row r="190" spans="4:15" x14ac:dyDescent="0.3">
      <c r="D190" s="4"/>
      <c r="E190" s="4"/>
      <c r="F190" s="4"/>
      <c r="G190" s="4"/>
      <c r="L190" s="4"/>
      <c r="M190" s="4"/>
      <c r="N190" s="4"/>
      <c r="O190" s="4"/>
    </row>
    <row r="191" spans="4:15" x14ac:dyDescent="0.3">
      <c r="D191" s="4"/>
      <c r="E191" s="4"/>
      <c r="F191" s="4"/>
      <c r="G191" s="4"/>
      <c r="L191" s="4"/>
      <c r="M191" s="4"/>
      <c r="N191" s="4"/>
      <c r="O191" s="4"/>
    </row>
    <row r="192" spans="4:15" x14ac:dyDescent="0.3">
      <c r="D192" s="4"/>
      <c r="E192" s="4"/>
      <c r="F192" s="4"/>
      <c r="G192" s="4"/>
      <c r="L192" s="4"/>
      <c r="M192" s="4"/>
      <c r="N192" s="4"/>
      <c r="O192" s="4"/>
    </row>
    <row r="193" spans="4:15" x14ac:dyDescent="0.3">
      <c r="D193" s="4"/>
      <c r="E193" s="4"/>
      <c r="F193" s="4"/>
      <c r="G193" s="4"/>
      <c r="L193" s="4"/>
      <c r="M193" s="4"/>
      <c r="N193" s="4"/>
      <c r="O193" s="4"/>
    </row>
    <row r="194" spans="4:15" x14ac:dyDescent="0.3">
      <c r="D194" s="4"/>
      <c r="E194" s="4"/>
      <c r="F194" s="4"/>
      <c r="G194" s="4"/>
      <c r="L194" s="4"/>
      <c r="M194" s="4"/>
      <c r="N194" s="4"/>
      <c r="O194" s="4"/>
    </row>
    <row r="195" spans="4:15" x14ac:dyDescent="0.3">
      <c r="D195" s="4"/>
      <c r="E195" s="4"/>
      <c r="F195" s="4"/>
      <c r="G195" s="4"/>
      <c r="L195" s="4"/>
      <c r="M195" s="4"/>
      <c r="N195" s="4"/>
      <c r="O195" s="4"/>
    </row>
    <row r="196" spans="4:15" x14ac:dyDescent="0.3">
      <c r="D196" s="4"/>
      <c r="E196" s="4"/>
      <c r="F196" s="4"/>
      <c r="G196" s="4"/>
      <c r="L196" s="4"/>
      <c r="M196" s="4"/>
      <c r="N196" s="4"/>
      <c r="O196" s="4"/>
    </row>
    <row r="197" spans="4:15" x14ac:dyDescent="0.3">
      <c r="D197" s="4"/>
      <c r="E197" s="4"/>
      <c r="F197" s="4"/>
      <c r="G197" s="4"/>
      <c r="L197" s="4"/>
      <c r="M197" s="4"/>
      <c r="N197" s="4"/>
      <c r="O197" s="4"/>
    </row>
    <row r="198" spans="4:15" x14ac:dyDescent="0.3">
      <c r="D198" s="4"/>
      <c r="E198" s="4"/>
      <c r="F198" s="4"/>
      <c r="G198" s="4"/>
      <c r="L198" s="4"/>
      <c r="M198" s="4"/>
      <c r="N198" s="4"/>
      <c r="O198" s="4"/>
    </row>
    <row r="199" spans="4:15" x14ac:dyDescent="0.3">
      <c r="D199" s="4"/>
      <c r="E199" s="4"/>
      <c r="F199" s="4"/>
      <c r="G199" s="4"/>
      <c r="L199" s="4"/>
      <c r="M199" s="4"/>
      <c r="N199" s="4"/>
      <c r="O199" s="4"/>
    </row>
    <row r="200" spans="4:15" x14ac:dyDescent="0.3">
      <c r="D200" s="4"/>
      <c r="E200" s="4"/>
      <c r="F200" s="4"/>
      <c r="G200" s="4"/>
      <c r="L200" s="4"/>
      <c r="M200" s="4"/>
      <c r="N200" s="4"/>
      <c r="O200" s="4"/>
    </row>
    <row r="201" spans="4:15" x14ac:dyDescent="0.3">
      <c r="D201" s="4"/>
      <c r="E201" s="4"/>
      <c r="F201" s="4"/>
      <c r="G201" s="4"/>
      <c r="L201" s="4"/>
      <c r="M201" s="4"/>
      <c r="N201" s="4"/>
      <c r="O201" s="4"/>
    </row>
    <row r="202" spans="4:15" x14ac:dyDescent="0.3">
      <c r="D202" s="4"/>
      <c r="E202" s="4"/>
      <c r="F202" s="4"/>
      <c r="G202" s="4"/>
      <c r="L202" s="4"/>
      <c r="M202" s="4"/>
      <c r="N202" s="4"/>
      <c r="O202" s="4"/>
    </row>
    <row r="203" spans="4:15" x14ac:dyDescent="0.3">
      <c r="D203" s="4"/>
      <c r="E203" s="4"/>
      <c r="F203" s="4"/>
      <c r="G203" s="4"/>
      <c r="L203" s="4"/>
      <c r="M203" s="4"/>
      <c r="N203" s="4"/>
      <c r="O203" s="4"/>
    </row>
    <row r="204" spans="4:15" x14ac:dyDescent="0.3">
      <c r="D204" s="4"/>
      <c r="E204" s="4"/>
      <c r="F204" s="4"/>
      <c r="G204" s="4"/>
      <c r="L204" s="4"/>
      <c r="M204" s="4"/>
      <c r="N204" s="4"/>
      <c r="O204" s="4"/>
    </row>
    <row r="205" spans="4:15" x14ac:dyDescent="0.3">
      <c r="D205" s="4"/>
      <c r="E205" s="4"/>
      <c r="F205" s="4"/>
      <c r="G205" s="4"/>
      <c r="L205" s="4"/>
      <c r="M205" s="4"/>
      <c r="N205" s="4"/>
      <c r="O205" s="4"/>
    </row>
    <row r="206" spans="4:15" x14ac:dyDescent="0.3">
      <c r="D206" s="4"/>
      <c r="E206" s="4"/>
      <c r="F206" s="4"/>
      <c r="G206" s="4"/>
      <c r="L206" s="4"/>
      <c r="M206" s="4"/>
      <c r="N206" s="4"/>
      <c r="O206" s="4"/>
    </row>
    <row r="207" spans="4:15" x14ac:dyDescent="0.3">
      <c r="D207" s="4"/>
      <c r="E207" s="4"/>
      <c r="F207" s="4"/>
      <c r="G207" s="4"/>
      <c r="L207" s="4"/>
      <c r="M207" s="4"/>
      <c r="N207" s="4"/>
      <c r="O207" s="4"/>
    </row>
    <row r="208" spans="4:15" x14ac:dyDescent="0.3">
      <c r="D208" s="4"/>
      <c r="E208" s="4"/>
      <c r="F208" s="4"/>
      <c r="G208" s="4"/>
      <c r="L208" s="4"/>
      <c r="M208" s="4"/>
      <c r="N208" s="4"/>
      <c r="O208" s="4"/>
    </row>
    <row r="209" spans="4:15" x14ac:dyDescent="0.3">
      <c r="D209" s="4"/>
      <c r="E209" s="4"/>
      <c r="F209" s="4"/>
      <c r="G209" s="4"/>
      <c r="L209" s="4"/>
      <c r="M209" s="4"/>
      <c r="N209" s="4"/>
      <c r="O209" s="4"/>
    </row>
    <row r="210" spans="4:15" x14ac:dyDescent="0.3">
      <c r="D210" s="4"/>
      <c r="E210" s="4"/>
      <c r="F210" s="4"/>
      <c r="G210" s="4"/>
      <c r="L210" s="4"/>
      <c r="M210" s="4"/>
      <c r="N210" s="4"/>
      <c r="O210" s="4"/>
    </row>
    <row r="211" spans="4:15" x14ac:dyDescent="0.3">
      <c r="D211" s="4"/>
      <c r="E211" s="4"/>
      <c r="F211" s="4"/>
      <c r="G211" s="4"/>
      <c r="L211" s="4"/>
      <c r="M211" s="4"/>
      <c r="N211" s="4"/>
      <c r="O211" s="4"/>
    </row>
    <row r="212" spans="4:15" x14ac:dyDescent="0.3">
      <c r="D212" s="4"/>
      <c r="E212" s="4"/>
      <c r="F212" s="4"/>
      <c r="G212" s="4"/>
      <c r="L212" s="4"/>
      <c r="M212" s="4"/>
      <c r="N212" s="4"/>
      <c r="O212" s="4"/>
    </row>
    <row r="213" spans="4:15" x14ac:dyDescent="0.3">
      <c r="D213" s="4"/>
      <c r="E213" s="4"/>
      <c r="F213" s="4"/>
      <c r="G213" s="4"/>
      <c r="L213" s="4"/>
      <c r="M213" s="4"/>
      <c r="N213" s="4"/>
      <c r="O213" s="4"/>
    </row>
    <row r="214" spans="4:15" x14ac:dyDescent="0.3">
      <c r="D214" s="4"/>
      <c r="E214" s="4"/>
      <c r="F214" s="4"/>
      <c r="G214" s="4"/>
      <c r="L214" s="4"/>
      <c r="M214" s="4"/>
      <c r="N214" s="4"/>
      <c r="O214" s="4"/>
    </row>
    <row r="215" spans="4:15" x14ac:dyDescent="0.3">
      <c r="D215" s="4"/>
      <c r="E215" s="4"/>
      <c r="F215" s="4"/>
      <c r="G215" s="4"/>
      <c r="L215" s="4"/>
      <c r="M215" s="4"/>
      <c r="N215" s="4"/>
      <c r="O215" s="4"/>
    </row>
    <row r="216" spans="4:15" x14ac:dyDescent="0.3">
      <c r="D216" s="4"/>
      <c r="E216" s="4"/>
      <c r="F216" s="4"/>
      <c r="G216" s="4"/>
      <c r="L216" s="4"/>
      <c r="M216" s="4"/>
      <c r="N216" s="4"/>
      <c r="O216" s="4"/>
    </row>
    <row r="217" spans="4:15" x14ac:dyDescent="0.3">
      <c r="D217" s="4"/>
      <c r="E217" s="4"/>
      <c r="F217" s="4"/>
      <c r="G217" s="4"/>
      <c r="L217" s="4"/>
      <c r="M217" s="4"/>
      <c r="N217" s="4"/>
      <c r="O217" s="4"/>
    </row>
    <row r="218" spans="4:15" x14ac:dyDescent="0.3">
      <c r="D218" s="4"/>
      <c r="E218" s="4"/>
      <c r="F218" s="4"/>
      <c r="G218" s="4"/>
      <c r="L218" s="4"/>
      <c r="M218" s="4"/>
      <c r="N218" s="4"/>
      <c r="O218" s="4"/>
    </row>
    <row r="219" spans="4:15" x14ac:dyDescent="0.3">
      <c r="D219" s="4"/>
      <c r="E219" s="4"/>
      <c r="F219" s="4"/>
      <c r="G219" s="4"/>
      <c r="L219" s="4"/>
      <c r="M219" s="4"/>
      <c r="N219" s="4"/>
      <c r="O219" s="4"/>
    </row>
    <row r="220" spans="4:15" x14ac:dyDescent="0.3">
      <c r="D220" s="4"/>
      <c r="E220" s="4"/>
      <c r="F220" s="4"/>
      <c r="G220" s="4"/>
      <c r="L220" s="4"/>
      <c r="M220" s="4"/>
      <c r="N220" s="4"/>
      <c r="O220" s="4"/>
    </row>
    <row r="221" spans="4:15" x14ac:dyDescent="0.3">
      <c r="D221" s="4"/>
      <c r="E221" s="4"/>
      <c r="F221" s="4"/>
      <c r="G221" s="4"/>
      <c r="L221" s="4"/>
      <c r="M221" s="4"/>
      <c r="N221" s="4"/>
      <c r="O221" s="4"/>
    </row>
    <row r="222" spans="4:15" x14ac:dyDescent="0.3">
      <c r="D222" s="4"/>
      <c r="E222" s="4"/>
      <c r="F222" s="4"/>
      <c r="G222" s="4"/>
      <c r="L222" s="4"/>
      <c r="M222" s="4"/>
      <c r="N222" s="4"/>
      <c r="O222" s="4"/>
    </row>
    <row r="223" spans="4:15" x14ac:dyDescent="0.3">
      <c r="D223" s="4"/>
      <c r="E223" s="4"/>
      <c r="F223" s="4"/>
      <c r="G223" s="4"/>
      <c r="L223" s="4"/>
      <c r="M223" s="4"/>
      <c r="N223" s="4"/>
      <c r="O223" s="4"/>
    </row>
    <row r="224" spans="4:15" x14ac:dyDescent="0.3">
      <c r="D224" s="4"/>
      <c r="E224" s="4"/>
      <c r="F224" s="4"/>
      <c r="G224" s="4"/>
      <c r="L224" s="4"/>
      <c r="M224" s="4"/>
      <c r="N224" s="4"/>
      <c r="O224" s="4"/>
    </row>
    <row r="225" spans="4:15" x14ac:dyDescent="0.3">
      <c r="D225" s="4"/>
      <c r="E225" s="4"/>
      <c r="F225" s="4"/>
      <c r="G225" s="4"/>
      <c r="L225" s="4"/>
      <c r="M225" s="4"/>
      <c r="N225" s="4"/>
      <c r="O225" s="4"/>
    </row>
    <row r="226" spans="4:15" x14ac:dyDescent="0.3">
      <c r="D226" s="4"/>
      <c r="E226" s="4"/>
      <c r="F226" s="4"/>
      <c r="G226" s="4"/>
      <c r="L226" s="4"/>
      <c r="M226" s="4"/>
      <c r="N226" s="4"/>
      <c r="O226" s="4"/>
    </row>
    <row r="227" spans="4:15" x14ac:dyDescent="0.3">
      <c r="D227" s="4"/>
      <c r="E227" s="4"/>
      <c r="F227" s="4"/>
      <c r="G227" s="4"/>
      <c r="L227" s="4"/>
      <c r="M227" s="4"/>
      <c r="N227" s="4"/>
      <c r="O227" s="4"/>
    </row>
    <row r="228" spans="4:15" x14ac:dyDescent="0.3">
      <c r="D228" s="4"/>
      <c r="E228" s="4"/>
      <c r="F228" s="4"/>
      <c r="G228" s="4"/>
      <c r="L228" s="4"/>
      <c r="M228" s="4"/>
      <c r="N228" s="4"/>
      <c r="O228" s="4"/>
    </row>
    <row r="229" spans="4:15" x14ac:dyDescent="0.3">
      <c r="D229" s="4"/>
      <c r="E229" s="4"/>
      <c r="F229" s="4"/>
      <c r="G229" s="4"/>
      <c r="L229" s="4"/>
      <c r="M229" s="4"/>
      <c r="N229" s="4"/>
      <c r="O229" s="4"/>
    </row>
    <row r="230" spans="4:15" x14ac:dyDescent="0.3">
      <c r="D230" s="4"/>
      <c r="E230" s="4"/>
      <c r="F230" s="4"/>
      <c r="G230" s="4"/>
      <c r="L230" s="4"/>
      <c r="M230" s="4"/>
      <c r="N230" s="4"/>
      <c r="O230" s="4"/>
    </row>
    <row r="231" spans="4:15" x14ac:dyDescent="0.3">
      <c r="D231" s="4"/>
      <c r="E231" s="4"/>
      <c r="F231" s="4"/>
      <c r="G231" s="4"/>
      <c r="L231" s="4"/>
      <c r="M231" s="4"/>
      <c r="N231" s="4"/>
      <c r="O231" s="4"/>
    </row>
    <row r="232" spans="4:15" x14ac:dyDescent="0.3">
      <c r="D232" s="4"/>
      <c r="E232" s="4"/>
      <c r="F232" s="4"/>
      <c r="G232" s="4"/>
      <c r="L232" s="4"/>
      <c r="M232" s="4"/>
      <c r="N232" s="4"/>
      <c r="O232" s="4"/>
    </row>
    <row r="233" spans="4:15" x14ac:dyDescent="0.3">
      <c r="D233" s="4"/>
      <c r="E233" s="4"/>
      <c r="F233" s="4"/>
      <c r="G233" s="4"/>
      <c r="L233" s="4"/>
      <c r="M233" s="4"/>
      <c r="N233" s="4"/>
      <c r="O233" s="4"/>
    </row>
    <row r="234" spans="4:15" x14ac:dyDescent="0.3">
      <c r="D234" s="4"/>
      <c r="E234" s="4"/>
      <c r="F234" s="4"/>
      <c r="G234" s="4"/>
      <c r="L234" s="4"/>
      <c r="M234" s="4"/>
      <c r="N234" s="4"/>
      <c r="O234" s="4"/>
    </row>
    <row r="235" spans="4:15" x14ac:dyDescent="0.3">
      <c r="D235" s="4"/>
      <c r="E235" s="4"/>
      <c r="F235" s="4"/>
      <c r="G235" s="4"/>
      <c r="L235" s="4"/>
      <c r="M235" s="4"/>
      <c r="N235" s="4"/>
      <c r="O235" s="4"/>
    </row>
    <row r="236" spans="4:15" x14ac:dyDescent="0.3">
      <c r="D236" s="4"/>
      <c r="E236" s="4"/>
      <c r="F236" s="4"/>
      <c r="G236" s="4"/>
      <c r="L236" s="4"/>
      <c r="M236" s="4"/>
      <c r="N236" s="4"/>
      <c r="O236" s="4"/>
    </row>
    <row r="237" spans="4:15" x14ac:dyDescent="0.3">
      <c r="D237" s="4"/>
      <c r="E237" s="4"/>
      <c r="F237" s="4"/>
      <c r="G237" s="4"/>
      <c r="L237" s="4"/>
      <c r="M237" s="4"/>
      <c r="N237" s="4"/>
      <c r="O237" s="4"/>
    </row>
    <row r="238" spans="4:15" x14ac:dyDescent="0.3">
      <c r="D238" s="4"/>
      <c r="E238" s="4"/>
      <c r="F238" s="4"/>
      <c r="G238" s="4"/>
      <c r="L238" s="4"/>
      <c r="M238" s="4"/>
      <c r="N238" s="4"/>
      <c r="O238" s="4"/>
    </row>
    <row r="239" spans="4:15" x14ac:dyDescent="0.3">
      <c r="D239" s="4"/>
      <c r="E239" s="4"/>
      <c r="F239" s="4"/>
      <c r="G239" s="4"/>
      <c r="L239" s="4"/>
      <c r="M239" s="4"/>
      <c r="N239" s="4"/>
      <c r="O239" s="4"/>
    </row>
    <row r="240" spans="4:15" x14ac:dyDescent="0.3">
      <c r="D240" s="4"/>
      <c r="E240" s="4"/>
      <c r="F240" s="4"/>
      <c r="G240" s="4"/>
      <c r="L240" s="4"/>
      <c r="M240" s="4"/>
      <c r="N240" s="4"/>
      <c r="O240" s="4"/>
    </row>
    <row r="241" spans="4:15" x14ac:dyDescent="0.3">
      <c r="D241" s="4"/>
      <c r="E241" s="4"/>
      <c r="F241" s="4"/>
      <c r="G241" s="4"/>
      <c r="L241" s="4"/>
      <c r="M241" s="4"/>
      <c r="N241" s="4"/>
      <c r="O241" s="4"/>
    </row>
    <row r="242" spans="4:15" x14ac:dyDescent="0.3">
      <c r="D242" s="4"/>
      <c r="E242" s="4"/>
      <c r="F242" s="4"/>
      <c r="G242" s="4"/>
      <c r="L242" s="4"/>
      <c r="M242" s="4"/>
      <c r="N242" s="4"/>
      <c r="O242" s="4"/>
    </row>
    <row r="243" spans="4:15" x14ac:dyDescent="0.3">
      <c r="D243" s="4"/>
      <c r="E243" s="4"/>
      <c r="F243" s="4"/>
      <c r="G243" s="4"/>
      <c r="L243" s="4"/>
      <c r="M243" s="4"/>
      <c r="N243" s="4"/>
      <c r="O243" s="4"/>
    </row>
    <row r="244" spans="4:15" x14ac:dyDescent="0.3">
      <c r="D244" s="4"/>
      <c r="E244" s="4"/>
      <c r="F244" s="4"/>
      <c r="G244" s="4"/>
      <c r="L244" s="4"/>
      <c r="M244" s="4"/>
      <c r="N244" s="4"/>
      <c r="O244" s="4"/>
    </row>
    <row r="245" spans="4:15" x14ac:dyDescent="0.3">
      <c r="D245" s="4"/>
      <c r="E245" s="4"/>
      <c r="F245" s="4"/>
      <c r="G245" s="4"/>
      <c r="L245" s="4"/>
      <c r="M245" s="4"/>
      <c r="N245" s="4"/>
      <c r="O245" s="4"/>
    </row>
    <row r="246" spans="4:15" x14ac:dyDescent="0.3">
      <c r="D246" s="4"/>
      <c r="E246" s="4"/>
      <c r="F246" s="4"/>
      <c r="G246" s="4"/>
      <c r="L246" s="4"/>
      <c r="M246" s="4"/>
      <c r="N246" s="4"/>
      <c r="O246" s="4"/>
    </row>
    <row r="247" spans="4:15" x14ac:dyDescent="0.3">
      <c r="D247" s="4"/>
      <c r="E247" s="4"/>
      <c r="F247" s="4"/>
      <c r="G247" s="4"/>
      <c r="L247" s="4"/>
      <c r="M247" s="4"/>
      <c r="N247" s="4"/>
      <c r="O247" s="4"/>
    </row>
    <row r="248" spans="4:15" x14ac:dyDescent="0.3">
      <c r="D248" s="4"/>
      <c r="E248" s="4"/>
      <c r="F248" s="4"/>
      <c r="G248" s="4"/>
      <c r="L248" s="4"/>
      <c r="M248" s="4"/>
      <c r="N248" s="4"/>
      <c r="O248" s="4"/>
    </row>
    <row r="249" spans="4:15" x14ac:dyDescent="0.3">
      <c r="D249" s="4"/>
      <c r="E249" s="4"/>
      <c r="F249" s="4"/>
      <c r="G249" s="4"/>
      <c r="L249" s="4"/>
      <c r="M249" s="4"/>
      <c r="N249" s="4"/>
      <c r="O249" s="4"/>
    </row>
    <row r="250" spans="4:15" x14ac:dyDescent="0.3">
      <c r="D250" s="4"/>
      <c r="E250" s="4"/>
      <c r="F250" s="4"/>
      <c r="G250" s="4"/>
      <c r="L250" s="4"/>
      <c r="M250" s="4"/>
      <c r="N250" s="4"/>
      <c r="O250" s="4"/>
    </row>
    <row r="251" spans="4:15" x14ac:dyDescent="0.3">
      <c r="D251" s="4"/>
      <c r="E251" s="4"/>
      <c r="F251" s="4"/>
      <c r="G251" s="4"/>
      <c r="L251" s="4"/>
      <c r="M251" s="4"/>
      <c r="N251" s="4"/>
      <c r="O251" s="4"/>
    </row>
    <row r="252" spans="4:15" x14ac:dyDescent="0.3">
      <c r="D252" s="4"/>
      <c r="E252" s="4"/>
      <c r="F252" s="4"/>
      <c r="G252" s="4"/>
      <c r="L252" s="4"/>
      <c r="M252" s="4"/>
      <c r="N252" s="4"/>
      <c r="O252" s="4"/>
    </row>
    <row r="253" spans="4:15" x14ac:dyDescent="0.3">
      <c r="D253" s="4"/>
      <c r="E253" s="4"/>
      <c r="F253" s="4"/>
      <c r="G253" s="4"/>
      <c r="L253" s="4"/>
      <c r="M253" s="4"/>
      <c r="N253" s="4"/>
      <c r="O253" s="4"/>
    </row>
    <row r="254" spans="4:15" x14ac:dyDescent="0.3">
      <c r="D254" s="4"/>
      <c r="E254" s="4"/>
      <c r="F254" s="4"/>
      <c r="G254" s="4"/>
      <c r="L254" s="4"/>
      <c r="M254" s="4"/>
      <c r="N254" s="4"/>
      <c r="O254" s="4"/>
    </row>
    <row r="255" spans="4:15" x14ac:dyDescent="0.3">
      <c r="D255" s="4"/>
      <c r="E255" s="4"/>
      <c r="F255" s="4"/>
      <c r="G255" s="4"/>
      <c r="L255" s="4"/>
      <c r="M255" s="4"/>
      <c r="N255" s="4"/>
      <c r="O255" s="4"/>
    </row>
    <row r="256" spans="4:15" x14ac:dyDescent="0.3">
      <c r="D256" s="4"/>
      <c r="E256" s="4"/>
      <c r="F256" s="4"/>
      <c r="G256" s="4"/>
      <c r="L256" s="4"/>
      <c r="M256" s="4"/>
      <c r="N256" s="4"/>
      <c r="O256" s="4"/>
    </row>
    <row r="257" spans="4:15" x14ac:dyDescent="0.3">
      <c r="D257" s="4"/>
      <c r="E257" s="4"/>
      <c r="F257" s="4"/>
      <c r="G257" s="4"/>
      <c r="L257" s="4"/>
      <c r="M257" s="4"/>
      <c r="N257" s="4"/>
      <c r="O257" s="4"/>
    </row>
    <row r="258" spans="4:15" x14ac:dyDescent="0.3">
      <c r="D258" s="4"/>
      <c r="E258" s="4"/>
      <c r="F258" s="4"/>
      <c r="G258" s="4"/>
      <c r="L258" s="4"/>
      <c r="M258" s="4"/>
      <c r="N258" s="4"/>
      <c r="O258" s="4"/>
    </row>
    <row r="259" spans="4:15" x14ac:dyDescent="0.3">
      <c r="D259" s="4"/>
      <c r="E259" s="4"/>
      <c r="F259" s="4"/>
      <c r="G259" s="4"/>
      <c r="L259" s="4"/>
      <c r="M259" s="4"/>
      <c r="N259" s="4"/>
      <c r="O259" s="4"/>
    </row>
    <row r="260" spans="4:15" x14ac:dyDescent="0.3">
      <c r="D260" s="4"/>
      <c r="E260" s="4"/>
      <c r="F260" s="4"/>
      <c r="G260" s="4"/>
      <c r="L260" s="4"/>
      <c r="M260" s="4"/>
      <c r="N260" s="4"/>
      <c r="O260" s="4"/>
    </row>
    <row r="261" spans="4:15" x14ac:dyDescent="0.3">
      <c r="D261" s="4"/>
      <c r="E261" s="4"/>
      <c r="F261" s="4"/>
      <c r="G261" s="4"/>
      <c r="L261" s="4"/>
      <c r="M261" s="4"/>
      <c r="N261" s="4"/>
      <c r="O261" s="4"/>
    </row>
    <row r="262" spans="4:15" x14ac:dyDescent="0.3">
      <c r="D262" s="4"/>
      <c r="E262" s="4"/>
      <c r="F262" s="4"/>
      <c r="G262" s="4"/>
      <c r="L262" s="4"/>
      <c r="M262" s="4"/>
      <c r="N262" s="4"/>
      <c r="O262" s="4"/>
    </row>
    <row r="263" spans="4:15" x14ac:dyDescent="0.3">
      <c r="D263" s="4"/>
      <c r="E263" s="4"/>
      <c r="F263" s="4"/>
      <c r="G263" s="4"/>
      <c r="L263" s="4"/>
      <c r="M263" s="4"/>
      <c r="N263" s="4"/>
      <c r="O263" s="4"/>
    </row>
    <row r="264" spans="4:15" x14ac:dyDescent="0.3">
      <c r="D264" s="4"/>
      <c r="E264" s="4"/>
      <c r="F264" s="4"/>
      <c r="G264" s="4"/>
      <c r="L264" s="4"/>
      <c r="M264" s="4"/>
      <c r="N264" s="4"/>
      <c r="O264" s="4"/>
    </row>
    <row r="265" spans="4:15" x14ac:dyDescent="0.3">
      <c r="D265" s="4"/>
      <c r="E265" s="4"/>
      <c r="F265" s="4"/>
      <c r="G265" s="4"/>
      <c r="L265" s="4"/>
      <c r="M265" s="4"/>
      <c r="N265" s="4"/>
      <c r="O265" s="4"/>
    </row>
    <row r="266" spans="4:15" x14ac:dyDescent="0.3">
      <c r="D266" s="4"/>
      <c r="E266" s="4"/>
      <c r="F266" s="4"/>
      <c r="G266" s="4"/>
      <c r="L266" s="4"/>
      <c r="M266" s="4"/>
      <c r="N266" s="4"/>
      <c r="O266" s="4"/>
    </row>
    <row r="267" spans="4:15" x14ac:dyDescent="0.3">
      <c r="D267" s="4"/>
      <c r="E267" s="4"/>
      <c r="F267" s="4"/>
      <c r="G267" s="4"/>
      <c r="L267" s="4"/>
      <c r="M267" s="4"/>
      <c r="N267" s="4"/>
      <c r="O267" s="4"/>
    </row>
    <row r="268" spans="4:15" x14ac:dyDescent="0.3">
      <c r="D268" s="4"/>
      <c r="E268" s="4"/>
      <c r="F268" s="4"/>
      <c r="G268" s="4"/>
      <c r="L268" s="4"/>
      <c r="M268" s="4"/>
      <c r="N268" s="4"/>
      <c r="O268" s="4"/>
    </row>
    <row r="269" spans="4:15" x14ac:dyDescent="0.3">
      <c r="D269" s="4"/>
      <c r="E269" s="4"/>
      <c r="F269" s="4"/>
      <c r="G269" s="4"/>
      <c r="L269" s="4"/>
      <c r="M269" s="4"/>
      <c r="N269" s="4"/>
      <c r="O269" s="4"/>
    </row>
    <row r="270" spans="4:15" x14ac:dyDescent="0.3">
      <c r="D270" s="4"/>
      <c r="E270" s="4"/>
      <c r="F270" s="4"/>
      <c r="G270" s="4"/>
      <c r="L270" s="4"/>
      <c r="M270" s="4"/>
      <c r="N270" s="4"/>
      <c r="O270" s="4"/>
    </row>
    <row r="271" spans="4:15" x14ac:dyDescent="0.3">
      <c r="D271" s="4"/>
      <c r="E271" s="4"/>
      <c r="F271" s="4"/>
      <c r="G271" s="4"/>
      <c r="L271" s="4"/>
      <c r="M271" s="4"/>
      <c r="N271" s="4"/>
      <c r="O271" s="4"/>
    </row>
    <row r="272" spans="4:15" x14ac:dyDescent="0.3">
      <c r="D272" s="4"/>
      <c r="E272" s="4"/>
      <c r="F272" s="4"/>
      <c r="G272" s="4"/>
      <c r="L272" s="4"/>
      <c r="M272" s="4"/>
      <c r="N272" s="4"/>
      <c r="O272" s="4"/>
    </row>
    <row r="273" spans="4:15" x14ac:dyDescent="0.3">
      <c r="D273" s="4"/>
      <c r="E273" s="4"/>
      <c r="F273" s="4"/>
      <c r="G273" s="4"/>
      <c r="L273" s="4"/>
      <c r="M273" s="4"/>
      <c r="N273" s="4"/>
      <c r="O273" s="4"/>
    </row>
    <row r="274" spans="4:15" x14ac:dyDescent="0.3">
      <c r="D274" s="4"/>
      <c r="E274" s="4"/>
      <c r="F274" s="4"/>
      <c r="G274" s="4"/>
      <c r="L274" s="4"/>
      <c r="M274" s="4"/>
      <c r="N274" s="4"/>
      <c r="O274" s="4"/>
    </row>
    <row r="275" spans="4:15" x14ac:dyDescent="0.3">
      <c r="D275" s="4"/>
      <c r="E275" s="4"/>
      <c r="F275" s="4"/>
      <c r="G275" s="4"/>
      <c r="L275" s="4"/>
      <c r="M275" s="4"/>
      <c r="N275" s="4"/>
      <c r="O275" s="4"/>
    </row>
    <row r="276" spans="4:15" x14ac:dyDescent="0.3">
      <c r="D276" s="4"/>
      <c r="E276" s="4"/>
      <c r="F276" s="4"/>
      <c r="G276" s="4"/>
      <c r="L276" s="4"/>
      <c r="M276" s="4"/>
      <c r="N276" s="4"/>
      <c r="O276" s="4"/>
    </row>
    <row r="277" spans="4:15" x14ac:dyDescent="0.3">
      <c r="D277" s="4"/>
      <c r="E277" s="4"/>
      <c r="F277" s="4"/>
      <c r="G277" s="4"/>
      <c r="L277" s="4"/>
      <c r="M277" s="4"/>
      <c r="N277" s="4"/>
      <c r="O277" s="4"/>
    </row>
    <row r="278" spans="4:15" x14ac:dyDescent="0.3">
      <c r="D278" s="4"/>
      <c r="E278" s="4"/>
      <c r="F278" s="4"/>
      <c r="G278" s="4"/>
      <c r="L278" s="4"/>
      <c r="M278" s="4"/>
      <c r="N278" s="4"/>
      <c r="O278" s="4"/>
    </row>
    <row r="279" spans="4:15" x14ac:dyDescent="0.3">
      <c r="D279" s="4"/>
      <c r="E279" s="4"/>
      <c r="F279" s="4"/>
      <c r="G279" s="4"/>
    </row>
    <row r="280" spans="4:15" x14ac:dyDescent="0.3">
      <c r="D280" s="4"/>
      <c r="E280" s="4"/>
      <c r="F280" s="4"/>
      <c r="G280" s="4"/>
    </row>
  </sheetData>
  <mergeCells count="2">
    <mergeCell ref="AD61:AD62"/>
    <mergeCell ref="AD63:AD64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F67"/>
  <sheetViews>
    <sheetView workbookViewId="0">
      <selection activeCell="B44" sqref="B44"/>
    </sheetView>
  </sheetViews>
  <sheetFormatPr defaultRowHeight="14.4" x14ac:dyDescent="0.3"/>
  <cols>
    <col min="2" max="2" width="57.44140625" customWidth="1"/>
    <col min="3" max="3" width="14.5546875" style="5" customWidth="1"/>
    <col min="4" max="4" width="8.6640625" customWidth="1"/>
    <col min="6" max="6" width="11.33203125" bestFit="1" customWidth="1"/>
  </cols>
  <sheetData>
    <row r="3" spans="2:4" x14ac:dyDescent="0.3">
      <c r="B3" s="10" t="s">
        <v>0</v>
      </c>
      <c r="D3">
        <v>526603</v>
      </c>
    </row>
    <row r="4" spans="2:4" x14ac:dyDescent="0.3">
      <c r="B4" s="11" t="s">
        <v>1</v>
      </c>
      <c r="C4" s="12"/>
      <c r="D4">
        <v>5000</v>
      </c>
    </row>
    <row r="5" spans="2:4" x14ac:dyDescent="0.3">
      <c r="B5" s="11" t="s">
        <v>81</v>
      </c>
      <c r="C5" s="12"/>
      <c r="D5">
        <v>35200</v>
      </c>
    </row>
    <row r="6" spans="2:4" x14ac:dyDescent="0.3">
      <c r="B6" t="s">
        <v>2</v>
      </c>
      <c r="C6" s="12"/>
      <c r="D6">
        <v>7489</v>
      </c>
    </row>
    <row r="7" spans="2:4" x14ac:dyDescent="0.3">
      <c r="B7" s="13"/>
      <c r="C7" s="12" t="s">
        <v>3</v>
      </c>
      <c r="D7">
        <v>47689</v>
      </c>
    </row>
    <row r="8" spans="2:4" x14ac:dyDescent="0.3">
      <c r="C8" s="12"/>
    </row>
    <row r="9" spans="2:4" x14ac:dyDescent="0.3">
      <c r="B9" s="10" t="s">
        <v>4</v>
      </c>
      <c r="C9" s="12"/>
    </row>
    <row r="10" spans="2:4" ht="15.6" x14ac:dyDescent="0.3">
      <c r="B10" s="38" t="s">
        <v>82</v>
      </c>
      <c r="C10" s="12"/>
      <c r="D10">
        <v>26000</v>
      </c>
    </row>
    <row r="11" spans="2:4" x14ac:dyDescent="0.3">
      <c r="B11" t="s">
        <v>5</v>
      </c>
      <c r="C11" s="12"/>
      <c r="D11">
        <v>74000</v>
      </c>
    </row>
    <row r="12" spans="2:4" x14ac:dyDescent="0.3">
      <c r="B12" s="39" t="s">
        <v>6</v>
      </c>
      <c r="C12" s="12"/>
      <c r="D12">
        <v>16800</v>
      </c>
    </row>
    <row r="13" spans="2:4" x14ac:dyDescent="0.3">
      <c r="B13" s="11" t="s">
        <v>80</v>
      </c>
      <c r="C13" s="15"/>
      <c r="D13">
        <v>36000</v>
      </c>
    </row>
    <row r="14" spans="2:4" x14ac:dyDescent="0.3">
      <c r="B14" s="11" t="s">
        <v>50</v>
      </c>
      <c r="C14" s="16"/>
      <c r="D14">
        <v>10000</v>
      </c>
    </row>
    <row r="15" spans="2:4" x14ac:dyDescent="0.3">
      <c r="B15" s="11"/>
      <c r="C15" s="16" t="s">
        <v>3</v>
      </c>
      <c r="D15">
        <v>162800</v>
      </c>
    </row>
    <row r="16" spans="2:4" x14ac:dyDescent="0.3">
      <c r="B16" s="14" t="s">
        <v>7</v>
      </c>
      <c r="C16" s="16"/>
    </row>
    <row r="17" spans="2:4" x14ac:dyDescent="0.3">
      <c r="B17" s="11" t="s">
        <v>71</v>
      </c>
      <c r="C17" s="16"/>
      <c r="D17">
        <v>11200</v>
      </c>
    </row>
    <row r="18" spans="2:4" x14ac:dyDescent="0.3">
      <c r="B18" s="11" t="s">
        <v>79</v>
      </c>
      <c r="C18" s="16"/>
      <c r="D18">
        <v>5700</v>
      </c>
    </row>
    <row r="19" spans="2:4" x14ac:dyDescent="0.3">
      <c r="B19" s="39" t="s">
        <v>8</v>
      </c>
      <c r="C19" s="16"/>
      <c r="D19">
        <v>2718.18</v>
      </c>
    </row>
    <row r="20" spans="2:4" x14ac:dyDescent="0.3">
      <c r="B20" t="s">
        <v>9</v>
      </c>
      <c r="D20">
        <v>6540</v>
      </c>
    </row>
    <row r="21" spans="2:4" x14ac:dyDescent="0.3">
      <c r="B21" s="40" t="s">
        <v>10</v>
      </c>
      <c r="D21">
        <v>950</v>
      </c>
    </row>
    <row r="22" spans="2:4" x14ac:dyDescent="0.3">
      <c r="B22" t="s">
        <v>11</v>
      </c>
      <c r="C22" s="17"/>
      <c r="D22">
        <v>31728.615384615387</v>
      </c>
    </row>
    <row r="23" spans="2:4" x14ac:dyDescent="0.3">
      <c r="B23" t="s">
        <v>12</v>
      </c>
      <c r="C23" s="17"/>
      <c r="D23">
        <v>1140</v>
      </c>
    </row>
    <row r="24" spans="2:4" x14ac:dyDescent="0.3">
      <c r="B24" t="s">
        <v>13</v>
      </c>
      <c r="C24" s="17"/>
      <c r="D24">
        <v>2308.06</v>
      </c>
    </row>
    <row r="25" spans="2:4" x14ac:dyDescent="0.3">
      <c r="B25" t="s">
        <v>14</v>
      </c>
      <c r="C25" s="17"/>
      <c r="D25">
        <v>2000</v>
      </c>
    </row>
    <row r="26" spans="2:4" x14ac:dyDescent="0.3">
      <c r="C26" s="17" t="s">
        <v>3</v>
      </c>
      <c r="D26">
        <v>64284.855384615381</v>
      </c>
    </row>
    <row r="27" spans="2:4" x14ac:dyDescent="0.3">
      <c r="B27" s="10" t="s">
        <v>15</v>
      </c>
      <c r="C27" s="17"/>
    </row>
    <row r="28" spans="2:4" x14ac:dyDescent="0.3">
      <c r="B28" t="s">
        <v>16</v>
      </c>
      <c r="C28" s="17"/>
      <c r="D28">
        <v>4200</v>
      </c>
    </row>
    <row r="29" spans="2:4" x14ac:dyDescent="0.3">
      <c r="B29" t="s">
        <v>17</v>
      </c>
      <c r="C29" s="17"/>
      <c r="D29">
        <v>107216.69</v>
      </c>
    </row>
    <row r="30" spans="2:4" x14ac:dyDescent="0.3">
      <c r="B30" t="s">
        <v>33</v>
      </c>
      <c r="C30" s="17"/>
      <c r="D30">
        <v>21200</v>
      </c>
    </row>
    <row r="31" spans="2:4" x14ac:dyDescent="0.3">
      <c r="B31" s="41" t="s">
        <v>36</v>
      </c>
      <c r="C31" s="17"/>
      <c r="D31">
        <v>17342.867769230768</v>
      </c>
    </row>
    <row r="32" spans="2:4" x14ac:dyDescent="0.3">
      <c r="C32" s="5" t="s">
        <v>3</v>
      </c>
      <c r="D32">
        <v>149959.55776923077</v>
      </c>
    </row>
    <row r="33" spans="2:4" x14ac:dyDescent="0.3">
      <c r="B33" s="14" t="s">
        <v>18</v>
      </c>
    </row>
    <row r="34" spans="2:4" x14ac:dyDescent="0.3">
      <c r="B34" t="s">
        <v>69</v>
      </c>
      <c r="C34" s="17"/>
      <c r="D34">
        <v>8000</v>
      </c>
    </row>
    <row r="35" spans="2:4" x14ac:dyDescent="0.3">
      <c r="B35" t="s">
        <v>72</v>
      </c>
      <c r="C35" s="17"/>
      <c r="D35">
        <v>8000</v>
      </c>
    </row>
    <row r="36" spans="2:4" x14ac:dyDescent="0.3">
      <c r="B36" s="41" t="s">
        <v>19</v>
      </c>
      <c r="C36" s="17"/>
      <c r="D36">
        <v>600</v>
      </c>
    </row>
    <row r="37" spans="2:4" x14ac:dyDescent="0.3">
      <c r="B37" t="s">
        <v>20</v>
      </c>
      <c r="C37" s="17"/>
      <c r="D37">
        <v>4800</v>
      </c>
    </row>
    <row r="38" spans="2:4" x14ac:dyDescent="0.3">
      <c r="B38" t="s">
        <v>21</v>
      </c>
      <c r="C38" s="17"/>
      <c r="D38">
        <v>500</v>
      </c>
    </row>
    <row r="39" spans="2:4" x14ac:dyDescent="0.3">
      <c r="B39" s="11" t="s">
        <v>22</v>
      </c>
      <c r="D39">
        <v>3200</v>
      </c>
    </row>
    <row r="40" spans="2:4" x14ac:dyDescent="0.3">
      <c r="B40" t="s">
        <v>23</v>
      </c>
      <c r="C40" s="17"/>
      <c r="D40">
        <v>4600</v>
      </c>
    </row>
    <row r="41" spans="2:4" x14ac:dyDescent="0.3">
      <c r="B41" t="s">
        <v>24</v>
      </c>
      <c r="C41" s="17"/>
      <c r="D41">
        <v>4600</v>
      </c>
    </row>
    <row r="42" spans="2:4" x14ac:dyDescent="0.3">
      <c r="B42" t="s">
        <v>25</v>
      </c>
      <c r="C42" s="17"/>
      <c r="D42">
        <v>1050</v>
      </c>
    </row>
    <row r="43" spans="2:4" x14ac:dyDescent="0.3">
      <c r="C43" s="17" t="s">
        <v>3</v>
      </c>
      <c r="D43">
        <v>35350</v>
      </c>
    </row>
    <row r="44" spans="2:4" x14ac:dyDescent="0.3">
      <c r="B44" s="10" t="s">
        <v>53</v>
      </c>
      <c r="C44" s="17"/>
    </row>
    <row r="45" spans="2:4" x14ac:dyDescent="0.3">
      <c r="B45" t="s">
        <v>54</v>
      </c>
      <c r="C45" s="17"/>
      <c r="D45">
        <v>1200</v>
      </c>
    </row>
    <row r="46" spans="2:4" x14ac:dyDescent="0.3">
      <c r="B46" t="s">
        <v>70</v>
      </c>
      <c r="C46" s="17"/>
      <c r="D46">
        <v>1800</v>
      </c>
    </row>
    <row r="47" spans="2:4" x14ac:dyDescent="0.3">
      <c r="B47" t="s">
        <v>55</v>
      </c>
      <c r="C47" s="17"/>
      <c r="D47">
        <v>600</v>
      </c>
    </row>
    <row r="48" spans="2:4" x14ac:dyDescent="0.3">
      <c r="B48" t="s">
        <v>56</v>
      </c>
      <c r="C48" s="17"/>
      <c r="D48">
        <v>12000</v>
      </c>
    </row>
    <row r="49" spans="2:4" x14ac:dyDescent="0.3">
      <c r="B49" s="13"/>
      <c r="C49" s="17" t="s">
        <v>3</v>
      </c>
      <c r="D49">
        <v>15600</v>
      </c>
    </row>
    <row r="50" spans="2:4" x14ac:dyDescent="0.3">
      <c r="B50" s="10" t="s">
        <v>26</v>
      </c>
      <c r="C50" s="17"/>
    </row>
    <row r="51" spans="2:4" x14ac:dyDescent="0.3">
      <c r="B51" s="2" t="s">
        <v>30</v>
      </c>
      <c r="C51" s="1"/>
      <c r="D51">
        <v>5789.8064159999994</v>
      </c>
    </row>
    <row r="52" spans="2:4" x14ac:dyDescent="0.3">
      <c r="B52" s="3" t="s">
        <v>31</v>
      </c>
      <c r="C52" s="25"/>
      <c r="D52">
        <v>9884.3465159999996</v>
      </c>
    </row>
    <row r="53" spans="2:4" x14ac:dyDescent="0.3">
      <c r="B53" s="3" t="s">
        <v>61</v>
      </c>
      <c r="C53" s="25"/>
      <c r="D53">
        <v>4790.041146576923</v>
      </c>
    </row>
    <row r="54" spans="2:4" x14ac:dyDescent="0.3">
      <c r="B54" s="3" t="s">
        <v>32</v>
      </c>
      <c r="C54" s="25"/>
      <c r="D54">
        <v>8331.586903903848</v>
      </c>
    </row>
    <row r="55" spans="2:4" x14ac:dyDescent="0.3">
      <c r="B55" s="3" t="s">
        <v>34</v>
      </c>
      <c r="C55" s="25"/>
      <c r="D55">
        <v>4772.2909319999999</v>
      </c>
    </row>
    <row r="56" spans="2:4" x14ac:dyDescent="0.3">
      <c r="B56" s="42" t="s">
        <v>35</v>
      </c>
      <c r="C56" s="25"/>
      <c r="D56">
        <v>13849.052634673075</v>
      </c>
    </row>
    <row r="57" spans="2:4" x14ac:dyDescent="0.3">
      <c r="B57" t="s">
        <v>78</v>
      </c>
      <c r="D57">
        <v>3502.4662379807692</v>
      </c>
    </row>
    <row r="58" spans="2:4" x14ac:dyDescent="0.3">
      <c r="B58" s="18"/>
      <c r="C58" s="12" t="s">
        <v>3</v>
      </c>
      <c r="D58">
        <v>50919.590787134613</v>
      </c>
    </row>
    <row r="59" spans="2:4" x14ac:dyDescent="0.3">
      <c r="B59" s="19"/>
      <c r="C59" s="26"/>
    </row>
    <row r="60" spans="2:4" x14ac:dyDescent="0.3">
      <c r="B60" s="19"/>
      <c r="C60" s="26"/>
    </row>
    <row r="61" spans="2:4" x14ac:dyDescent="0.3">
      <c r="B61" s="19"/>
      <c r="C61" s="26"/>
    </row>
    <row r="62" spans="2:4" x14ac:dyDescent="0.3">
      <c r="B62" s="19"/>
      <c r="C62" s="26"/>
    </row>
    <row r="63" spans="2:4" x14ac:dyDescent="0.3">
      <c r="B63" s="19"/>
      <c r="C63" s="26"/>
    </row>
    <row r="64" spans="2:4" x14ac:dyDescent="0.3">
      <c r="B64" s="19"/>
      <c r="C64" s="26"/>
    </row>
    <row r="65" spans="2:6" x14ac:dyDescent="0.3">
      <c r="B65" s="19"/>
      <c r="C65" s="26"/>
    </row>
    <row r="66" spans="2:6" x14ac:dyDescent="0.3">
      <c r="B66" s="19"/>
      <c r="C66" s="26"/>
    </row>
    <row r="67" spans="2:6" x14ac:dyDescent="0.3">
      <c r="B67" s="13"/>
      <c r="C67" s="17"/>
      <c r="F67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I20"/>
  <sheetViews>
    <sheetView topLeftCell="A4" workbookViewId="0">
      <selection activeCell="G16" sqref="G16"/>
    </sheetView>
  </sheetViews>
  <sheetFormatPr defaultRowHeight="14.4" x14ac:dyDescent="0.3"/>
  <cols>
    <col min="1" max="1" width="18.44140625" customWidth="1"/>
    <col min="2" max="2" width="9.33203125" customWidth="1"/>
    <col min="3" max="3" width="13.6640625" customWidth="1"/>
    <col min="4" max="4" width="10.6640625" customWidth="1"/>
    <col min="5" max="5" width="12" customWidth="1"/>
    <col min="6" max="6" width="15.33203125" customWidth="1"/>
    <col min="8" max="8" width="14.33203125" customWidth="1"/>
  </cols>
  <sheetData>
    <row r="5" spans="1:9" ht="27.75" customHeight="1" x14ac:dyDescent="0.3">
      <c r="A5" s="7" t="s">
        <v>26</v>
      </c>
      <c r="C5" s="8" t="s">
        <v>27</v>
      </c>
      <c r="D5" s="8" t="s">
        <v>28</v>
      </c>
      <c r="E5" s="8" t="s">
        <v>29</v>
      </c>
      <c r="F5" s="8" t="s">
        <v>3</v>
      </c>
      <c r="I5" s="8" t="s">
        <v>112</v>
      </c>
    </row>
    <row r="6" spans="1:9" ht="24.75" customHeight="1" x14ac:dyDescent="0.3">
      <c r="A6" s="7" t="s">
        <v>30</v>
      </c>
      <c r="B6" s="74" t="s">
        <v>62</v>
      </c>
      <c r="C6" s="9">
        <f>'Personnel 2021'!E6+'Personnel 2022'!E6+'Personnel 2023'!E6+'Personnel 2024'!E6+'Personnel 2025'!E6+'Personnel 2026'!E6</f>
        <v>3010.3192307692307</v>
      </c>
      <c r="D6" s="9">
        <f>'Personnel 2021'!F6+'Personnel 2022'!F6+'Personnel 2023'!F6+'Personnel 2024'!F6+'Personnel 2025'!F6+'Personnel 2026'!F6</f>
        <v>1412.4260384615384</v>
      </c>
      <c r="E6" s="9">
        <f>'Personnel 2021'!G6+'Personnel 2022'!G6+'Personnel 2023'!G6+'Personnel 2024'!G6+'Personnel 2025'!G6+'Personnel 2026'!G6</f>
        <v>857.94098076923058</v>
      </c>
      <c r="F6" s="30">
        <f t="shared" ref="F6:F7" si="0">SUM(C6:E6)</f>
        <v>5280.6862499999997</v>
      </c>
      <c r="I6">
        <f>'Personnel 2021'!D6+'Personnel 2022'!D6+'Personnel 2023'!D6+'Personnel 2024'!D6+'Personnel 2025'!D6+'Personnel 2026'!D6</f>
        <v>104</v>
      </c>
    </row>
    <row r="7" spans="1:9" ht="36.75" customHeight="1" x14ac:dyDescent="0.3">
      <c r="A7" s="7" t="s">
        <v>52</v>
      </c>
      <c r="B7" s="74" t="s">
        <v>63</v>
      </c>
      <c r="C7" s="9">
        <f>SUM('Personnel 2021'!E7+'Personnel 2022'!E7+'Personnel 2023'!E7+'Personnel 2024'!E7+'Personnel 2025'!E7+'Personnel 2026'!E7)</f>
        <v>5946.6161538461538</v>
      </c>
      <c r="D7" s="125">
        <f>'Personnel 2021'!F7+'Personnel 2022'!F7+'Personnel 2023'!F7+'Personnel 2024'!F7+'Personnel 2025'!F7+'Personnel 2026'!F7</f>
        <v>2789.7679923076921</v>
      </c>
      <c r="E7" s="125">
        <f>'Personnel 2021'!G7+'Personnel 2022'!G7+'Personnel 2023'!G7+'Personnel 2024'!G7+'Personnel 2025'!G7+'Personnel 2026'!G7</f>
        <v>1694.7856038461539</v>
      </c>
      <c r="F7" s="30">
        <f t="shared" si="0"/>
        <v>10431.169750000001</v>
      </c>
      <c r="I7">
        <f>'Personnel 2021'!D7+'Personnel 2022'!D7+'Personnel 2023'!D7+'Personnel 2024'!D7+'Personnel 2025'!D7+'Personnel 2026'!D7</f>
        <v>164</v>
      </c>
    </row>
    <row r="8" spans="1:9" ht="42" customHeight="1" x14ac:dyDescent="0.3">
      <c r="A8" s="7" t="s">
        <v>61</v>
      </c>
      <c r="B8" s="74" t="s">
        <v>64</v>
      </c>
      <c r="C8" s="125">
        <f>'Personnel 2021'!E8+'Personnel 2022'!E8+'Personnel 2023'!E8+'Personnel 2024'!E8+'Personnel 2025'!E8+'Personnel 2026'!E8</f>
        <v>1254.6586538461538</v>
      </c>
      <c r="D8" s="9">
        <f>'Personnel 2021'!F8+'Personnel 2022'!F8+'Personnel 2023'!F8+'Personnel 2024'!F8+'Personnel 2025'!F8+'Personnel 2026'!F8</f>
        <v>589.6895673076923</v>
      </c>
      <c r="E8" s="9">
        <f>'Personnel 2021'!G8+'Personnel 2022'!G8+'Personnel 2023'!G8+'Personnel 2024'!G8+'Personnel 2025'!G8+'Personnel 2026'!G8</f>
        <v>357.57771634615381</v>
      </c>
      <c r="F8" s="30">
        <f>SUM(C8:E8)</f>
        <v>2201.9259375000001</v>
      </c>
      <c r="I8">
        <f>'Personnel 2021'!D8+'Personnel 2022'!D8+'Personnel 2023'!D8+'Personnel 2024'!D8+'Personnel 2025'!D8+'Personnel 2026'!D8</f>
        <v>30</v>
      </c>
    </row>
    <row r="9" spans="1:9" ht="36.75" customHeight="1" x14ac:dyDescent="0.3">
      <c r="A9" s="7" t="s">
        <v>105</v>
      </c>
      <c r="B9" s="74" t="s">
        <v>99</v>
      </c>
      <c r="C9" s="9">
        <f>'Personnel 2024'!E9+'Personnel 2025'!E9+'Personnel 2026'!E9</f>
        <v>4207.6153846153848</v>
      </c>
      <c r="D9" s="9">
        <f>'Personnel 2024'!F9+'Personnel 2025'!F9+'Personnel 2026'!F9</f>
        <v>1977.5792307692309</v>
      </c>
      <c r="E9" s="9">
        <f>'Personnel 2024'!G9+'Personnel 2025'!G9+'Personnel 2026'!G9</f>
        <v>1199.1703846153846</v>
      </c>
      <c r="F9" s="30">
        <f>SUM(C9:E9)</f>
        <v>7384.3649999999998</v>
      </c>
      <c r="I9">
        <f>'Personnel 2021'!D9+'Personnel 2022'!D9+'Personnel 2023'!D9+'Personnel 2024'!D9+'Personnel 2025'!D9+'Personnel 2026'!D9</f>
        <v>120</v>
      </c>
    </row>
    <row r="10" spans="1:9" ht="48.75" customHeight="1" x14ac:dyDescent="0.3">
      <c r="A10" s="7" t="s">
        <v>106</v>
      </c>
      <c r="B10" s="74" t="s">
        <v>66</v>
      </c>
      <c r="C10" s="126">
        <f>'Personnel 2021'!E9+'Personnel 2021'!E10+'Personnel 2022'!E9+'Personnel 2022'!E10+'Personnel 2023'!E9+'Personnel 2023'!E10+'Personnel 2024'!E10+'Personnel 2025'!E10+'Personnel 2026'!E10</f>
        <v>3689.7884615384619</v>
      </c>
      <c r="D10" s="125">
        <f>'Personnel 2021'!F10+'Personnel 2022'!F10+'Personnel 2023'!F10+'Personnel 2024'!F10+'Personnel 2025'!F10+'Personnel 2026'!F10</f>
        <v>1734.2005769230768</v>
      </c>
      <c r="E10" s="125">
        <f>'Personnel 2021'!G10+'Personnel 2022'!G10+'Personnel 2023'!G10+'Personnel 2024'!G10+'Personnel 2025'!G10+'Personnel 2026'!G10</f>
        <v>1051.5897115384614</v>
      </c>
      <c r="F10" s="30">
        <f t="shared" ref="F10:F11" si="1">SUM(C10:E10)</f>
        <v>6475.5787500000006</v>
      </c>
      <c r="I10">
        <f>'Personnel 2021'!D10+'Personnel 2022'!D10+'Personnel 2023'!D10+'Personnel 2024'!D10+'Personnel 2025'!D10+'Personnel 2026'!D10</f>
        <v>120</v>
      </c>
    </row>
    <row r="11" spans="1:9" ht="32.25" customHeight="1" x14ac:dyDescent="0.3">
      <c r="A11" s="7" t="s">
        <v>35</v>
      </c>
      <c r="B11" s="74" t="s">
        <v>67</v>
      </c>
      <c r="C11" s="9">
        <f>'Personnel 2021'!E11+'Personnel 2022'!E11+'Personnel 2023'!E11+'Personnel 2024'!E11+'Personnel 2025'!E11+'Personnel 2026'!E11</f>
        <v>10551.482884615385</v>
      </c>
      <c r="D11" s="125">
        <f>'Personnel 2021'!F11+'Personnel 2022'!F11+'Personnel 2023'!F11+'Personnel 2024'!F11+'Personnel 2025'!F11+'Personnel 2026'!F11</f>
        <v>4922.1676557692308</v>
      </c>
      <c r="E11" s="9">
        <f>'Personnel 2021'!G11+'Personnel 2022'!G11+'Personnel 2023'!G11+'Personnel 2024'!G11+'Personnel 2025'!G11+'Personnel 2026'!G11</f>
        <v>3007.172622115384</v>
      </c>
      <c r="F11" s="30">
        <f t="shared" si="1"/>
        <v>18480.823162500001</v>
      </c>
      <c r="I11">
        <f>'Personnel 2021'!D11+'Personnel 2022'!D11+'Personnel 2023'!D11+'Personnel 2024'!D11+'Personnel 2025'!D11+'Personnel 2026'!D11</f>
        <v>207</v>
      </c>
    </row>
    <row r="12" spans="1:9" ht="32.25" customHeight="1" x14ac:dyDescent="0.3">
      <c r="A12" s="7" t="s">
        <v>76</v>
      </c>
      <c r="B12" s="74" t="s">
        <v>77</v>
      </c>
      <c r="C12" s="9">
        <f>'Personnel 2021'!E12+'Personnel 2022'!E12+'Personnel 2023'!E12+'Personnel 2024'!E12+'Personnel 2025'!E12+'Personnel 2026'!E12</f>
        <v>3464.1919230769236</v>
      </c>
      <c r="D12" s="9">
        <f>'Personnel 2021'!F12+'Personnel 2022'!F12+'Personnel 2023'!F12+'Personnel 2024'!F12+'Personnel 2025'!F12+'Personnel 2026'!F12</f>
        <v>1619.8923038461537</v>
      </c>
      <c r="E12" s="9">
        <f>'Personnel 2021'!G12+'Personnel 2022'!G12+'Personnel 2023'!G12+'Personnel 2024'!G12+'Personnel 2025'!G12+'Personnel 2026'!G12</f>
        <v>987.29469807692317</v>
      </c>
      <c r="F12" s="30">
        <f t="shared" ref="F12" si="2">SUM(C12:E12)</f>
        <v>6071.378925</v>
      </c>
      <c r="I12">
        <f>'Personnel 2021'!D12+'Personnel 2022'!D12+'Personnel 2023'!D12+'Personnel 2024'!D12+'Personnel 2025'!D12+'Personnel 2026'!D12</f>
        <v>141</v>
      </c>
    </row>
    <row r="13" spans="1:9" ht="21.75" customHeight="1" x14ac:dyDescent="0.3">
      <c r="B13" s="27" t="s">
        <v>3</v>
      </c>
      <c r="C13" s="5">
        <f>SUM(C6:C12)</f>
        <v>32124.672692307697</v>
      </c>
      <c r="D13" s="5">
        <f t="shared" ref="D13:E13" si="3">SUM(D6:D12)</f>
        <v>15045.723365384616</v>
      </c>
      <c r="E13" s="5">
        <f t="shared" si="3"/>
        <v>9155.531717307691</v>
      </c>
      <c r="F13" s="5">
        <f>SUM(F6:F12)</f>
        <v>56325.927775000004</v>
      </c>
      <c r="G13" s="5"/>
    </row>
    <row r="14" spans="1:9" x14ac:dyDescent="0.3">
      <c r="D14" s="134">
        <f>D13/C13</f>
        <v>0.46835413731662201</v>
      </c>
      <c r="E14" s="133">
        <f>E13/C13</f>
        <v>0.28499999999999992</v>
      </c>
      <c r="F14" s="6"/>
    </row>
    <row r="15" spans="1:9" x14ac:dyDescent="0.3">
      <c r="G15" s="4"/>
    </row>
    <row r="16" spans="1:9" x14ac:dyDescent="0.3">
      <c r="E16" s="4"/>
      <c r="H16" s="4"/>
    </row>
    <row r="18" spans="1:8" ht="31.2" x14ac:dyDescent="0.3">
      <c r="A18" s="7" t="s">
        <v>33</v>
      </c>
      <c r="B18" s="21" t="s">
        <v>68</v>
      </c>
      <c r="C18" s="31">
        <f>'Personnel 2024'!E16+'Personnel 2025'!E16+'Personnel 2026'!E16</f>
        <v>21465</v>
      </c>
      <c r="D18" s="9"/>
      <c r="E18" s="9"/>
      <c r="F18" s="80">
        <f>C18</f>
        <v>21465</v>
      </c>
      <c r="H18" s="6"/>
    </row>
    <row r="19" spans="1:8" ht="46.5" customHeight="1" x14ac:dyDescent="0.3">
      <c r="A19" s="7" t="s">
        <v>36</v>
      </c>
      <c r="B19" s="24">
        <f>108885*1.02</f>
        <v>111062.7</v>
      </c>
      <c r="C19" s="31">
        <f>'Personnel 2024'!E17+'Personnel 2025'!E17+'Personnel 2026'!E17</f>
        <v>18245.252206730769</v>
      </c>
      <c r="D19" s="9"/>
      <c r="E19" s="9"/>
      <c r="F19" s="80">
        <f>C19</f>
        <v>18245.252206730769</v>
      </c>
      <c r="H19" s="6"/>
    </row>
    <row r="20" spans="1:8" x14ac:dyDescent="0.3">
      <c r="F20" s="17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H19"/>
  <sheetViews>
    <sheetView workbookViewId="0">
      <selection activeCell="D22" sqref="D22"/>
    </sheetView>
  </sheetViews>
  <sheetFormatPr defaultRowHeight="14.4" x14ac:dyDescent="0.3"/>
  <cols>
    <col min="1" max="1" width="22.5546875" customWidth="1"/>
    <col min="2" max="2" width="9.6640625" customWidth="1"/>
    <col min="3" max="3" width="11.33203125" style="20" bestFit="1" customWidth="1"/>
    <col min="4" max="4" width="13.33203125" style="21" customWidth="1"/>
    <col min="5" max="5" width="14.33203125" style="23" customWidth="1"/>
    <col min="8" max="8" width="10.5546875" style="23" customWidth="1"/>
  </cols>
  <sheetData>
    <row r="5" spans="1:8" ht="15.6" x14ac:dyDescent="0.3">
      <c r="A5" s="7" t="s">
        <v>26</v>
      </c>
      <c r="B5" s="7"/>
      <c r="D5" s="8" t="s">
        <v>57</v>
      </c>
      <c r="E5" s="22" t="s">
        <v>58</v>
      </c>
      <c r="F5" t="s">
        <v>59</v>
      </c>
      <c r="G5" s="6" t="s">
        <v>29</v>
      </c>
      <c r="H5" s="23" t="s">
        <v>60</v>
      </c>
    </row>
    <row r="6" spans="1:8" ht="15.6" x14ac:dyDescent="0.3">
      <c r="A6" s="7" t="s">
        <v>51</v>
      </c>
      <c r="B6" s="27" t="s">
        <v>62</v>
      </c>
      <c r="C6" s="28">
        <v>42016</v>
      </c>
      <c r="D6" s="21">
        <v>0</v>
      </c>
      <c r="E6" s="23">
        <f>C6/2080*D6</f>
        <v>0</v>
      </c>
      <c r="F6" s="6">
        <f>E6*0.46</f>
        <v>0</v>
      </c>
      <c r="G6" s="6">
        <f>E6*0.285</f>
        <v>0</v>
      </c>
      <c r="H6" s="23">
        <f>SUM(E6:G6)</f>
        <v>0</v>
      </c>
    </row>
    <row r="7" spans="1:8" ht="42" customHeight="1" x14ac:dyDescent="0.3">
      <c r="A7" s="7" t="s">
        <v>52</v>
      </c>
      <c r="B7" s="27" t="s">
        <v>63</v>
      </c>
      <c r="C7" s="28">
        <v>65208</v>
      </c>
      <c r="D7" s="21">
        <v>8</v>
      </c>
      <c r="E7" s="23">
        <f t="shared" ref="E7:E12" si="0">C7/2080*D7</f>
        <v>250.8</v>
      </c>
      <c r="F7" s="6">
        <f t="shared" ref="F7:F12" si="1">E7*0.46</f>
        <v>115.36800000000001</v>
      </c>
      <c r="G7" s="6">
        <f t="shared" ref="G7:G12" si="2">E7*0.285</f>
        <v>71.477999999999994</v>
      </c>
      <c r="H7" s="23">
        <f t="shared" ref="H7:H12" si="3">SUM(E7:G7)</f>
        <v>437.64600000000002</v>
      </c>
    </row>
    <row r="8" spans="1:8" ht="29.25" customHeight="1" x14ac:dyDescent="0.3">
      <c r="A8" s="7" t="s">
        <v>61</v>
      </c>
      <c r="B8" s="27" t="s">
        <v>64</v>
      </c>
      <c r="C8" s="28">
        <v>77522</v>
      </c>
      <c r="D8" s="21">
        <v>0</v>
      </c>
      <c r="E8" s="23">
        <f t="shared" si="0"/>
        <v>0</v>
      </c>
      <c r="F8" s="6">
        <f t="shared" si="1"/>
        <v>0</v>
      </c>
      <c r="G8" s="6">
        <f t="shared" si="2"/>
        <v>0</v>
      </c>
      <c r="H8" s="23">
        <f t="shared" si="3"/>
        <v>0</v>
      </c>
    </row>
    <row r="9" spans="1:8" ht="39.75" customHeight="1" x14ac:dyDescent="0.3">
      <c r="A9" s="7" t="s">
        <v>32</v>
      </c>
      <c r="B9" s="27" t="s">
        <v>65</v>
      </c>
      <c r="C9" s="28">
        <v>80101</v>
      </c>
      <c r="D9" s="21">
        <v>0</v>
      </c>
      <c r="E9" s="23">
        <f t="shared" si="0"/>
        <v>0</v>
      </c>
      <c r="F9" s="6">
        <f t="shared" si="1"/>
        <v>0</v>
      </c>
      <c r="G9" s="6">
        <f t="shared" si="2"/>
        <v>0</v>
      </c>
      <c r="H9" s="23">
        <f t="shared" si="3"/>
        <v>0</v>
      </c>
    </row>
    <row r="10" spans="1:8" ht="36.75" customHeight="1" x14ac:dyDescent="0.3">
      <c r="A10" s="7" t="s">
        <v>34</v>
      </c>
      <c r="B10" s="27" t="s">
        <v>66</v>
      </c>
      <c r="C10" s="28">
        <v>69264</v>
      </c>
      <c r="D10" s="21">
        <v>0</v>
      </c>
      <c r="E10" s="23">
        <f t="shared" si="0"/>
        <v>0</v>
      </c>
      <c r="F10" s="6">
        <f t="shared" si="1"/>
        <v>0</v>
      </c>
      <c r="G10" s="6">
        <f t="shared" si="2"/>
        <v>0</v>
      </c>
      <c r="H10" s="23">
        <f t="shared" si="3"/>
        <v>0</v>
      </c>
    </row>
    <row r="11" spans="1:8" ht="37.5" customHeight="1" x14ac:dyDescent="0.3">
      <c r="A11" s="7" t="s">
        <v>35</v>
      </c>
      <c r="B11" s="27" t="s">
        <v>67</v>
      </c>
      <c r="C11" s="46">
        <v>96283.199999999997</v>
      </c>
      <c r="D11" s="21">
        <v>17</v>
      </c>
      <c r="E11" s="23">
        <f t="shared" si="0"/>
        <v>786.93</v>
      </c>
      <c r="F11" s="6">
        <f t="shared" si="1"/>
        <v>361.98779999999999</v>
      </c>
      <c r="G11" s="6">
        <f t="shared" si="2"/>
        <v>224.27504999999996</v>
      </c>
      <c r="H11" s="23">
        <f t="shared" si="3"/>
        <v>1373.1928499999999</v>
      </c>
    </row>
    <row r="12" spans="1:8" ht="32.1" customHeight="1" x14ac:dyDescent="0.3">
      <c r="A12" s="7" t="s">
        <v>76</v>
      </c>
      <c r="B12" s="27" t="s">
        <v>77</v>
      </c>
      <c r="C12" s="46">
        <v>41995.200000000004</v>
      </c>
      <c r="D12" s="21">
        <v>11</v>
      </c>
      <c r="E12" s="23">
        <f t="shared" si="0"/>
        <v>222.09</v>
      </c>
      <c r="F12" s="6">
        <f t="shared" si="1"/>
        <v>102.1614</v>
      </c>
      <c r="G12" s="6">
        <f t="shared" si="2"/>
        <v>63.295649999999995</v>
      </c>
      <c r="H12" s="23">
        <f t="shared" si="3"/>
        <v>387.54705000000001</v>
      </c>
    </row>
    <row r="13" spans="1:8" ht="18.600000000000001" customHeight="1" x14ac:dyDescent="0.3">
      <c r="A13" s="7"/>
      <c r="B13" s="27"/>
      <c r="C13" s="28"/>
      <c r="F13" s="6"/>
      <c r="G13" s="6"/>
    </row>
    <row r="14" spans="1:8" x14ac:dyDescent="0.3">
      <c r="E14" s="23">
        <f>SUM(E6:E12)</f>
        <v>1259.82</v>
      </c>
      <c r="F14" s="23">
        <f>SUM(F6:F12)</f>
        <v>579.5172</v>
      </c>
      <c r="G14" s="23">
        <f>SUM(G6:G12)</f>
        <v>359.04869999999994</v>
      </c>
      <c r="H14" s="23">
        <f>SUM(H6:H12)</f>
        <v>2198.3858999999998</v>
      </c>
    </row>
    <row r="15" spans="1:8" x14ac:dyDescent="0.3">
      <c r="F15" s="132">
        <f>F14/E14</f>
        <v>0.46</v>
      </c>
      <c r="G15" s="133">
        <f>G14/E14</f>
        <v>0.28499999999999998</v>
      </c>
    </row>
    <row r="17" spans="1:7" ht="15.6" x14ac:dyDescent="0.3">
      <c r="A17" s="7" t="s">
        <v>33</v>
      </c>
      <c r="B17" s="20"/>
      <c r="C17" s="21">
        <v>0</v>
      </c>
      <c r="D17" s="23">
        <f t="shared" ref="D17" si="4">B17/2080*C17</f>
        <v>0</v>
      </c>
      <c r="E17" s="6">
        <f>D17*0.48</f>
        <v>0</v>
      </c>
      <c r="F17" s="6">
        <f>D17*0.285</f>
        <v>0</v>
      </c>
      <c r="G17" s="23">
        <f>SUM(D17:F17)</f>
        <v>0</v>
      </c>
    </row>
    <row r="18" spans="1:7" x14ac:dyDescent="0.3">
      <c r="B18" s="20"/>
      <c r="C18" s="21"/>
      <c r="D18" s="23"/>
      <c r="E18"/>
      <c r="G18" s="23"/>
    </row>
    <row r="19" spans="1:7" ht="31.2" x14ac:dyDescent="0.3">
      <c r="A19" s="7" t="s">
        <v>36</v>
      </c>
      <c r="B19" s="24">
        <f>108885*1.02</f>
        <v>111062.7</v>
      </c>
      <c r="C19" s="21">
        <v>0</v>
      </c>
      <c r="D19" s="23">
        <f t="shared" ref="D19" si="5">B19/2080*C19</f>
        <v>0</v>
      </c>
      <c r="E19" s="6">
        <f>D19*0.48</f>
        <v>0</v>
      </c>
      <c r="F19" s="6">
        <f>D19*0.285</f>
        <v>0</v>
      </c>
      <c r="G19" s="23">
        <f>SUM(D19:F19)</f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H17"/>
  <sheetViews>
    <sheetView workbookViewId="0">
      <selection activeCell="E21" sqref="E21"/>
    </sheetView>
  </sheetViews>
  <sheetFormatPr defaultRowHeight="14.4" x14ac:dyDescent="0.3"/>
  <cols>
    <col min="1" max="1" width="17.6640625" customWidth="1"/>
    <col min="2" max="2" width="13.33203125" customWidth="1"/>
    <col min="3" max="3" width="11.33203125" style="20" bestFit="1" customWidth="1"/>
    <col min="4" max="4" width="13.33203125" style="21" customWidth="1"/>
    <col min="5" max="5" width="14.33203125" style="23" customWidth="1"/>
    <col min="8" max="8" width="10.5546875" style="23" customWidth="1"/>
  </cols>
  <sheetData>
    <row r="4" spans="1:8" x14ac:dyDescent="0.3">
      <c r="E4" s="17"/>
      <c r="F4" s="6"/>
      <c r="G4" s="6"/>
    </row>
    <row r="5" spans="1:8" ht="15.6" x14ac:dyDescent="0.3">
      <c r="A5" s="7" t="s">
        <v>26</v>
      </c>
      <c r="B5" s="7"/>
      <c r="D5" s="8" t="s">
        <v>57</v>
      </c>
      <c r="E5" s="22" t="s">
        <v>58</v>
      </c>
      <c r="F5" t="s">
        <v>59</v>
      </c>
      <c r="G5" s="6" t="s">
        <v>29</v>
      </c>
      <c r="H5" s="23" t="s">
        <v>60</v>
      </c>
    </row>
    <row r="6" spans="1:8" ht="15.6" x14ac:dyDescent="0.3">
      <c r="A6" s="7" t="s">
        <v>51</v>
      </c>
      <c r="B6" s="27" t="s">
        <v>62</v>
      </c>
      <c r="C6" s="44">
        <f>'[1]Personnel 2021'!C6*1</f>
        <v>42016</v>
      </c>
      <c r="D6" s="21">
        <v>12</v>
      </c>
      <c r="E6" s="45">
        <f t="shared" ref="E6:E12" si="0">C6/2080*D6</f>
        <v>242.39999999999998</v>
      </c>
      <c r="F6" s="5">
        <f>E6*0.46</f>
        <v>111.50399999999999</v>
      </c>
      <c r="G6">
        <f>E6*0.285</f>
        <v>69.083999999999989</v>
      </c>
      <c r="H6">
        <f>SUM(E6:G6)</f>
        <v>422.988</v>
      </c>
    </row>
    <row r="7" spans="1:8" ht="42" customHeight="1" x14ac:dyDescent="0.3">
      <c r="A7" s="7" t="s">
        <v>52</v>
      </c>
      <c r="B7" s="27" t="s">
        <v>63</v>
      </c>
      <c r="C7" s="43">
        <v>68473.600000000006</v>
      </c>
      <c r="D7" s="21">
        <v>8</v>
      </c>
      <c r="E7" s="23">
        <f t="shared" si="0"/>
        <v>263.36</v>
      </c>
      <c r="F7" s="5">
        <f t="shared" ref="F7:F12" si="1">E7*0.46</f>
        <v>121.14560000000002</v>
      </c>
      <c r="G7" s="6">
        <f t="shared" ref="G7:G12" si="2">E7*0.285</f>
        <v>75.057599999999994</v>
      </c>
      <c r="H7" s="23">
        <f t="shared" ref="H7:H12" si="3">SUM(E7:G7)</f>
        <v>459.56319999999999</v>
      </c>
    </row>
    <row r="8" spans="1:8" ht="29.25" customHeight="1" x14ac:dyDescent="0.3">
      <c r="A8" s="7" t="s">
        <v>61</v>
      </c>
      <c r="B8" s="27" t="s">
        <v>64</v>
      </c>
      <c r="C8" s="43">
        <v>81411.199999999997</v>
      </c>
      <c r="D8" s="21">
        <v>0</v>
      </c>
      <c r="E8" s="23">
        <f t="shared" si="0"/>
        <v>0</v>
      </c>
      <c r="F8" s="5">
        <f t="shared" si="1"/>
        <v>0</v>
      </c>
      <c r="G8" s="6">
        <f t="shared" si="2"/>
        <v>0</v>
      </c>
      <c r="H8" s="23">
        <f t="shared" si="3"/>
        <v>0</v>
      </c>
    </row>
    <row r="9" spans="1:8" ht="39.75" customHeight="1" x14ac:dyDescent="0.3">
      <c r="A9" s="7" t="s">
        <v>32</v>
      </c>
      <c r="B9" s="27" t="s">
        <v>65</v>
      </c>
      <c r="C9" s="43">
        <v>84094.399999999994</v>
      </c>
      <c r="D9" s="21">
        <v>0</v>
      </c>
      <c r="E9" s="23">
        <f t="shared" si="0"/>
        <v>0</v>
      </c>
      <c r="F9" s="5">
        <f t="shared" si="1"/>
        <v>0</v>
      </c>
      <c r="G9" s="6">
        <f t="shared" si="2"/>
        <v>0</v>
      </c>
      <c r="H9" s="23">
        <f t="shared" si="3"/>
        <v>0</v>
      </c>
    </row>
    <row r="10" spans="1:8" ht="36.75" customHeight="1" x14ac:dyDescent="0.3">
      <c r="A10" s="7" t="s">
        <v>34</v>
      </c>
      <c r="B10" s="27" t="s">
        <v>66</v>
      </c>
      <c r="C10" s="43">
        <v>72737.599999999991</v>
      </c>
      <c r="D10" s="21">
        <v>0</v>
      </c>
      <c r="E10" s="23">
        <f t="shared" si="0"/>
        <v>0</v>
      </c>
      <c r="F10" s="5">
        <f t="shared" si="1"/>
        <v>0</v>
      </c>
      <c r="G10" s="6">
        <f t="shared" si="2"/>
        <v>0</v>
      </c>
      <c r="H10" s="23">
        <f t="shared" si="3"/>
        <v>0</v>
      </c>
    </row>
    <row r="11" spans="1:8" ht="37.5" customHeight="1" x14ac:dyDescent="0.3">
      <c r="A11" s="7" t="s">
        <v>35</v>
      </c>
      <c r="B11" s="27" t="s">
        <v>67</v>
      </c>
      <c r="C11" s="43">
        <v>101088</v>
      </c>
      <c r="D11" s="21">
        <v>60</v>
      </c>
      <c r="E11" s="23">
        <f t="shared" si="0"/>
        <v>2916</v>
      </c>
      <c r="F11" s="5">
        <f t="shared" si="1"/>
        <v>1341.3600000000001</v>
      </c>
      <c r="G11" s="6">
        <f t="shared" si="2"/>
        <v>831.06</v>
      </c>
      <c r="H11" s="23">
        <f t="shared" si="3"/>
        <v>5088.42</v>
      </c>
    </row>
    <row r="12" spans="1:8" ht="37.5" customHeight="1" x14ac:dyDescent="0.3">
      <c r="A12" s="7" t="s">
        <v>76</v>
      </c>
      <c r="B12" s="27" t="s">
        <v>77</v>
      </c>
      <c r="C12" s="43">
        <v>41995.200000000004</v>
      </c>
      <c r="D12" s="21">
        <v>30</v>
      </c>
      <c r="E12" s="23">
        <f t="shared" si="0"/>
        <v>605.70000000000005</v>
      </c>
      <c r="F12" s="5">
        <f t="shared" si="1"/>
        <v>278.62200000000001</v>
      </c>
      <c r="G12" s="6">
        <f t="shared" si="2"/>
        <v>172.62450000000001</v>
      </c>
      <c r="H12" s="23">
        <f t="shared" si="3"/>
        <v>1056.9465</v>
      </c>
    </row>
    <row r="13" spans="1:8" x14ac:dyDescent="0.3">
      <c r="E13" s="23">
        <f>SUM(E6:E12)</f>
        <v>4027.46</v>
      </c>
      <c r="F13" s="6">
        <f>SUM(F6:F12)</f>
        <v>1852.6316000000002</v>
      </c>
      <c r="G13" s="6">
        <f t="shared" ref="G13" si="4">E13*0.285</f>
        <v>1147.8261</v>
      </c>
      <c r="H13" s="23">
        <f t="shared" ref="H13" si="5">SUM(E13:G13)</f>
        <v>7027.9177</v>
      </c>
    </row>
    <row r="14" spans="1:8" x14ac:dyDescent="0.3">
      <c r="F14" s="132">
        <f>F13/E13</f>
        <v>0.46</v>
      </c>
      <c r="G14" s="133">
        <f>G13/E13</f>
        <v>0.28499999999999998</v>
      </c>
    </row>
    <row r="15" spans="1:8" ht="31.2" x14ac:dyDescent="0.3">
      <c r="A15" s="7" t="s">
        <v>33</v>
      </c>
      <c r="B15" s="7"/>
      <c r="C15" s="21">
        <v>0</v>
      </c>
      <c r="D15" s="23">
        <f t="shared" ref="D15" si="6">B15/2080*C15</f>
        <v>0</v>
      </c>
      <c r="E15" s="6">
        <f>D15*0.48</f>
        <v>0</v>
      </c>
      <c r="F15" s="6">
        <f>D15*0.285</f>
        <v>0</v>
      </c>
      <c r="G15" s="23">
        <f>SUM(D15:F15)</f>
        <v>0</v>
      </c>
      <c r="H15" s="23">
        <f>SUM(E15:G15)</f>
        <v>0</v>
      </c>
    </row>
    <row r="17" spans="1:8" ht="46.8" x14ac:dyDescent="0.3">
      <c r="A17" s="7" t="s">
        <v>36</v>
      </c>
      <c r="B17" s="7"/>
      <c r="C17" s="21">
        <v>0</v>
      </c>
      <c r="D17" s="23">
        <f t="shared" ref="D17" si="7">B17/2080*C17</f>
        <v>0</v>
      </c>
      <c r="E17" s="6">
        <f>D17*0.48</f>
        <v>0</v>
      </c>
      <c r="F17" s="6">
        <f>D17*0.285</f>
        <v>0</v>
      </c>
      <c r="G17" s="23">
        <f>SUM(D17:F17)</f>
        <v>0</v>
      </c>
      <c r="H17" s="23">
        <f>SUM(E17:G17)</f>
        <v>0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K17"/>
  <sheetViews>
    <sheetView workbookViewId="0">
      <selection activeCell="E20" sqref="E20"/>
    </sheetView>
  </sheetViews>
  <sheetFormatPr defaultRowHeight="14.4" x14ac:dyDescent="0.3"/>
  <cols>
    <col min="1" max="1" width="19.5546875" customWidth="1"/>
    <col min="2" max="2" width="12.6640625" customWidth="1"/>
    <col min="3" max="3" width="11.33203125" style="20" bestFit="1" customWidth="1"/>
    <col min="4" max="4" width="13.33203125" style="21" customWidth="1"/>
    <col min="5" max="5" width="14.33203125" style="23" customWidth="1"/>
    <col min="8" max="8" width="10.5546875" style="23" customWidth="1"/>
  </cols>
  <sheetData>
    <row r="5" spans="1:11" ht="15.6" x14ac:dyDescent="0.3">
      <c r="A5" s="7" t="s">
        <v>26</v>
      </c>
      <c r="B5" s="7"/>
      <c r="D5" s="8" t="s">
        <v>57</v>
      </c>
      <c r="E5" s="22" t="s">
        <v>58</v>
      </c>
      <c r="F5" t="s">
        <v>59</v>
      </c>
      <c r="G5" s="6" t="s">
        <v>29</v>
      </c>
      <c r="H5" s="23" t="s">
        <v>60</v>
      </c>
    </row>
    <row r="6" spans="1:11" ht="15.6" x14ac:dyDescent="0.3">
      <c r="A6" s="7" t="s">
        <v>51</v>
      </c>
      <c r="B6" s="27" t="s">
        <v>62</v>
      </c>
      <c r="C6" s="43">
        <f>'[1]Personnel 2022'!C6*1</f>
        <v>42016</v>
      </c>
      <c r="D6" s="21">
        <v>12</v>
      </c>
      <c r="E6" s="23">
        <f t="shared" ref="E6:E12" si="0">C6/2080*D6</f>
        <v>242.39999999999998</v>
      </c>
      <c r="F6" s="6">
        <f>E6*0.47</f>
        <v>113.92799999999998</v>
      </c>
      <c r="G6" s="6">
        <f>E6*0.285</f>
        <v>69.083999999999989</v>
      </c>
      <c r="H6" s="23">
        <f>SUM(E6:G6)</f>
        <v>425.41199999999998</v>
      </c>
    </row>
    <row r="7" spans="1:11" ht="42" customHeight="1" x14ac:dyDescent="0.3">
      <c r="A7" s="7" t="s">
        <v>52</v>
      </c>
      <c r="B7" s="27" t="s">
        <v>63</v>
      </c>
      <c r="C7" s="43">
        <f>'[1]Personnel 2022'!C7*1</f>
        <v>68473.600000000006</v>
      </c>
      <c r="D7" s="21">
        <v>8</v>
      </c>
      <c r="E7" s="23">
        <f t="shared" si="0"/>
        <v>263.36</v>
      </c>
      <c r="F7" s="6">
        <f t="shared" ref="F7:F12" si="1">E7*0.47</f>
        <v>123.7792</v>
      </c>
      <c r="G7" s="6">
        <f t="shared" ref="G7:G12" si="2">E7*0.285</f>
        <v>75.057599999999994</v>
      </c>
      <c r="H7" s="23">
        <f t="shared" ref="H7:H12" si="3">SUM(E7:G7)</f>
        <v>462.1968</v>
      </c>
    </row>
    <row r="8" spans="1:11" ht="29.25" customHeight="1" x14ac:dyDescent="0.3">
      <c r="A8" s="7" t="s">
        <v>61</v>
      </c>
      <c r="B8" s="27" t="s">
        <v>64</v>
      </c>
      <c r="C8" s="43">
        <f>'[1]Personnel 2022'!C8*1</f>
        <v>81411.199999999997</v>
      </c>
      <c r="D8" s="21">
        <v>0</v>
      </c>
      <c r="E8" s="23">
        <f t="shared" si="0"/>
        <v>0</v>
      </c>
      <c r="F8" s="6">
        <f t="shared" si="1"/>
        <v>0</v>
      </c>
      <c r="G8" s="6">
        <f t="shared" si="2"/>
        <v>0</v>
      </c>
      <c r="H8" s="23">
        <f t="shared" si="3"/>
        <v>0</v>
      </c>
    </row>
    <row r="9" spans="1:11" ht="39.75" customHeight="1" x14ac:dyDescent="0.3">
      <c r="A9" s="7" t="s">
        <v>32</v>
      </c>
      <c r="B9" s="27" t="s">
        <v>65</v>
      </c>
      <c r="C9" s="43">
        <f>'[1]Personnel 2022'!C9*1</f>
        <v>84094.399999999994</v>
      </c>
      <c r="D9" s="21">
        <v>0</v>
      </c>
      <c r="E9" s="23">
        <f t="shared" si="0"/>
        <v>0</v>
      </c>
      <c r="F9" s="6">
        <f t="shared" si="1"/>
        <v>0</v>
      </c>
      <c r="G9" s="6">
        <f t="shared" si="2"/>
        <v>0</v>
      </c>
      <c r="H9" s="23">
        <f t="shared" si="3"/>
        <v>0</v>
      </c>
      <c r="K9" s="29"/>
    </row>
    <row r="10" spans="1:11" ht="36.75" customHeight="1" x14ac:dyDescent="0.3">
      <c r="A10" s="7" t="s">
        <v>34</v>
      </c>
      <c r="B10" s="27" t="s">
        <v>66</v>
      </c>
      <c r="C10" s="43">
        <f>'[1]Personnel 2022'!C10*1</f>
        <v>72737.599999999991</v>
      </c>
      <c r="D10" s="21">
        <v>0</v>
      </c>
      <c r="E10" s="23">
        <f t="shared" si="0"/>
        <v>0</v>
      </c>
      <c r="F10" s="6">
        <f t="shared" si="1"/>
        <v>0</v>
      </c>
      <c r="G10" s="6">
        <f t="shared" si="2"/>
        <v>0</v>
      </c>
      <c r="H10" s="23">
        <f t="shared" si="3"/>
        <v>0</v>
      </c>
    </row>
    <row r="11" spans="1:11" ht="37.5" customHeight="1" x14ac:dyDescent="0.3">
      <c r="A11" s="7" t="s">
        <v>35</v>
      </c>
      <c r="B11" s="27" t="s">
        <v>67</v>
      </c>
      <c r="C11" s="43">
        <f>'[1]Personnel 2022'!C11*1</f>
        <v>101088</v>
      </c>
      <c r="D11" s="21">
        <v>40</v>
      </c>
      <c r="E11" s="23">
        <f t="shared" si="0"/>
        <v>1944</v>
      </c>
      <c r="F11" s="6">
        <f t="shared" si="1"/>
        <v>913.68</v>
      </c>
      <c r="G11" s="6">
        <f t="shared" si="2"/>
        <v>554.04</v>
      </c>
      <c r="H11" s="23">
        <f t="shared" si="3"/>
        <v>3411.72</v>
      </c>
    </row>
    <row r="12" spans="1:11" ht="37.5" customHeight="1" x14ac:dyDescent="0.3">
      <c r="A12" s="7" t="s">
        <v>76</v>
      </c>
      <c r="B12" s="27" t="s">
        <v>77</v>
      </c>
      <c r="C12" s="43">
        <f>'[1]Personnel 2022'!C12*1</f>
        <v>41995.200000000004</v>
      </c>
      <c r="D12" s="21">
        <v>30</v>
      </c>
      <c r="E12" s="23">
        <f t="shared" si="0"/>
        <v>605.70000000000005</v>
      </c>
      <c r="F12" s="6">
        <f t="shared" si="1"/>
        <v>284.67900000000003</v>
      </c>
      <c r="G12" s="6">
        <f t="shared" si="2"/>
        <v>172.62450000000001</v>
      </c>
      <c r="H12" s="23">
        <f t="shared" si="3"/>
        <v>1063.0035000000003</v>
      </c>
    </row>
    <row r="13" spans="1:11" x14ac:dyDescent="0.3">
      <c r="E13" s="23">
        <f>SUM(E6:E12)</f>
        <v>3055.46</v>
      </c>
      <c r="F13" s="6">
        <f>SUM(F6:F12)</f>
        <v>1436.0662</v>
      </c>
      <c r="G13" s="6">
        <f t="shared" ref="G13" si="4">E13*0.285</f>
        <v>870.8060999999999</v>
      </c>
      <c r="H13" s="23">
        <f t="shared" ref="H13" si="5">SUM(E13:G13)</f>
        <v>5362.3323</v>
      </c>
    </row>
    <row r="14" spans="1:11" x14ac:dyDescent="0.3">
      <c r="F14" s="132">
        <f>F13/E13</f>
        <v>0.47</v>
      </c>
      <c r="G14" s="133">
        <f>G13/E13</f>
        <v>0.28499999999999998</v>
      </c>
    </row>
    <row r="16" spans="1:11" ht="31.2" x14ac:dyDescent="0.3">
      <c r="A16" s="7" t="s">
        <v>33</v>
      </c>
      <c r="B16" s="7"/>
      <c r="C16" s="21">
        <v>0</v>
      </c>
      <c r="D16" s="23">
        <f t="shared" ref="D16:D17" si="6">B16/2080*C16</f>
        <v>0</v>
      </c>
      <c r="E16" s="6">
        <f>D16*0.48</f>
        <v>0</v>
      </c>
      <c r="F16" s="6">
        <f>D16*0.285</f>
        <v>0</v>
      </c>
      <c r="G16" s="23">
        <f>SUM(D16:F16)</f>
        <v>0</v>
      </c>
      <c r="H16" s="23">
        <f>SUM(E16:G16)</f>
        <v>0</v>
      </c>
    </row>
    <row r="17" spans="1:8" ht="31.2" x14ac:dyDescent="0.3">
      <c r="A17" s="7" t="s">
        <v>36</v>
      </c>
      <c r="B17" s="7"/>
      <c r="C17" s="21">
        <v>0</v>
      </c>
      <c r="D17" s="23">
        <f t="shared" si="6"/>
        <v>0</v>
      </c>
      <c r="E17" s="6">
        <f>D17*0.48</f>
        <v>0</v>
      </c>
      <c r="F17" s="6">
        <f>D17*0.285</f>
        <v>0</v>
      </c>
      <c r="G17" s="23">
        <f>SUM(D17:F17)</f>
        <v>0</v>
      </c>
      <c r="H17" s="23">
        <f>SUM(E17:G17)</f>
        <v>0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5:N17"/>
  <sheetViews>
    <sheetView workbookViewId="0">
      <selection activeCell="F20" sqref="F20"/>
    </sheetView>
  </sheetViews>
  <sheetFormatPr defaultRowHeight="14.4" x14ac:dyDescent="0.3"/>
  <cols>
    <col min="1" max="1" width="27.109375" bestFit="1" customWidth="1"/>
    <col min="2" max="2" width="9" customWidth="1"/>
    <col min="3" max="3" width="12.6640625" customWidth="1"/>
  </cols>
  <sheetData>
    <row r="5" spans="1:14" ht="15.6" x14ac:dyDescent="0.3">
      <c r="A5" s="71" t="s">
        <v>26</v>
      </c>
      <c r="B5" s="71"/>
      <c r="C5" s="45"/>
      <c r="D5" s="72" t="s">
        <v>57</v>
      </c>
      <c r="E5" s="73" t="s">
        <v>58</v>
      </c>
      <c r="F5" t="s">
        <v>59</v>
      </c>
      <c r="G5" s="6" t="s">
        <v>29</v>
      </c>
      <c r="H5" s="23" t="s">
        <v>60</v>
      </c>
    </row>
    <row r="6" spans="1:14" ht="15.6" x14ac:dyDescent="0.3">
      <c r="A6" s="71" t="s">
        <v>51</v>
      </c>
      <c r="B6" s="74" t="s">
        <v>98</v>
      </c>
      <c r="C6" s="75">
        <v>65451</v>
      </c>
      <c r="D6" s="76">
        <v>40</v>
      </c>
      <c r="E6" s="23">
        <f t="shared" ref="E6:E12" si="0">C6/2080*D6</f>
        <v>1258.6730769230769</v>
      </c>
      <c r="F6" s="6">
        <f>E6*0.47</f>
        <v>591.57634615384609</v>
      </c>
      <c r="G6" s="6">
        <f>E6*0.285</f>
        <v>358.72182692307689</v>
      </c>
      <c r="H6" s="23">
        <f>SUM(E6:G6)</f>
        <v>2208.9712500000001</v>
      </c>
      <c r="I6" s="70" t="s">
        <v>98</v>
      </c>
    </row>
    <row r="7" spans="1:14" ht="15.6" x14ac:dyDescent="0.3">
      <c r="A7" s="71" t="s">
        <v>52</v>
      </c>
      <c r="B7" s="74" t="s">
        <v>63</v>
      </c>
      <c r="C7" s="75">
        <v>76517</v>
      </c>
      <c r="D7" s="76">
        <v>60</v>
      </c>
      <c r="E7" s="23">
        <f t="shared" si="0"/>
        <v>2207.2211538461538</v>
      </c>
      <c r="F7" s="6">
        <f t="shared" ref="F7:F12" si="1">E7*0.47</f>
        <v>1037.3939423076922</v>
      </c>
      <c r="G7" s="6">
        <f t="shared" ref="G7:G12" si="2">E7*0.285</f>
        <v>629.05802884615377</v>
      </c>
      <c r="H7" s="23">
        <f t="shared" ref="H7:H11" si="3">SUM(E7:G7)</f>
        <v>3873.6731249999998</v>
      </c>
      <c r="I7" s="70" t="s">
        <v>97</v>
      </c>
      <c r="N7">
        <v>75483</v>
      </c>
    </row>
    <row r="8" spans="1:14" ht="15.6" x14ac:dyDescent="0.3">
      <c r="A8" s="71" t="s">
        <v>61</v>
      </c>
      <c r="B8" s="74" t="s">
        <v>64</v>
      </c>
      <c r="C8" s="79">
        <v>86615</v>
      </c>
      <c r="D8" s="76">
        <v>10</v>
      </c>
      <c r="E8" s="23">
        <f t="shared" si="0"/>
        <v>416.41826923076917</v>
      </c>
      <c r="F8" s="6">
        <f t="shared" si="1"/>
        <v>195.71658653846148</v>
      </c>
      <c r="G8" s="6">
        <f t="shared" si="2"/>
        <v>118.67920673076921</v>
      </c>
      <c r="H8" s="23">
        <f t="shared" si="3"/>
        <v>730.81406249999986</v>
      </c>
      <c r="I8" s="70" t="s">
        <v>66</v>
      </c>
      <c r="N8">
        <f>N7/2080</f>
        <v>36.289903846153848</v>
      </c>
    </row>
    <row r="9" spans="1:14" ht="15.6" x14ac:dyDescent="0.3">
      <c r="A9" s="77" t="s">
        <v>95</v>
      </c>
      <c r="B9" s="74" t="s">
        <v>99</v>
      </c>
      <c r="C9" s="75">
        <v>72618</v>
      </c>
      <c r="D9" s="76">
        <v>40</v>
      </c>
      <c r="E9" s="23">
        <f t="shared" si="0"/>
        <v>1396.5</v>
      </c>
      <c r="F9" s="6">
        <f t="shared" si="1"/>
        <v>656.35500000000002</v>
      </c>
      <c r="G9" s="6">
        <f t="shared" si="2"/>
        <v>398.00249999999994</v>
      </c>
      <c r="H9" s="23">
        <f t="shared" si="3"/>
        <v>2450.8575000000001</v>
      </c>
      <c r="I9" s="47" t="s">
        <v>99</v>
      </c>
    </row>
    <row r="10" spans="1:14" ht="30" customHeight="1" x14ac:dyDescent="0.3">
      <c r="A10" s="71" t="s">
        <v>109</v>
      </c>
      <c r="B10" s="74" t="s">
        <v>66</v>
      </c>
      <c r="C10" s="75">
        <v>63681</v>
      </c>
      <c r="D10" s="76">
        <v>40</v>
      </c>
      <c r="E10" s="23">
        <f t="shared" si="0"/>
        <v>1224.6346153846155</v>
      </c>
      <c r="F10" s="6">
        <f t="shared" si="1"/>
        <v>575.57826923076925</v>
      </c>
      <c r="G10" s="6">
        <f t="shared" si="2"/>
        <v>349.02086538461538</v>
      </c>
      <c r="H10" s="23">
        <f t="shared" si="3"/>
        <v>2149.2337499999999</v>
      </c>
      <c r="I10" s="70" t="s">
        <v>100</v>
      </c>
    </row>
    <row r="11" spans="1:14" ht="15.6" customHeight="1" x14ac:dyDescent="0.3">
      <c r="A11" s="71" t="s">
        <v>35</v>
      </c>
      <c r="B11" s="74" t="s">
        <v>67</v>
      </c>
      <c r="C11" s="75">
        <v>112943</v>
      </c>
      <c r="D11" s="76">
        <v>40</v>
      </c>
      <c r="E11" s="23">
        <f t="shared" si="0"/>
        <v>2171.9807692307691</v>
      </c>
      <c r="F11" s="6">
        <f t="shared" si="1"/>
        <v>1020.8309615384615</v>
      </c>
      <c r="G11" s="6">
        <f t="shared" si="2"/>
        <v>619.01451923076911</v>
      </c>
      <c r="H11" s="23">
        <f t="shared" si="3"/>
        <v>3811.8262499999996</v>
      </c>
      <c r="I11" s="47" t="s">
        <v>67</v>
      </c>
    </row>
    <row r="12" spans="1:14" ht="16.95" customHeight="1" x14ac:dyDescent="0.3">
      <c r="A12" s="71" t="s">
        <v>76</v>
      </c>
      <c r="B12" s="74" t="s">
        <v>77</v>
      </c>
      <c r="C12" s="75">
        <v>60118</v>
      </c>
      <c r="D12" s="76">
        <v>30</v>
      </c>
      <c r="E12" s="23">
        <f t="shared" si="0"/>
        <v>867.08653846153845</v>
      </c>
      <c r="F12" s="6">
        <f t="shared" si="1"/>
        <v>407.53067307692305</v>
      </c>
      <c r="G12" s="6">
        <f t="shared" si="2"/>
        <v>247.11966346153844</v>
      </c>
      <c r="H12" s="23">
        <f t="shared" ref="H12" si="4">SUM(E12:G12)</f>
        <v>1521.7368750000001</v>
      </c>
      <c r="I12" s="47" t="s">
        <v>77</v>
      </c>
    </row>
    <row r="13" spans="1:14" x14ac:dyDescent="0.3">
      <c r="C13" s="45"/>
      <c r="D13" s="21"/>
      <c r="E13" s="23">
        <f>SUM(E6:E12)</f>
        <v>9542.5144230769238</v>
      </c>
      <c r="F13" s="29">
        <f>SUM(F6:F12)</f>
        <v>4484.9817788461542</v>
      </c>
      <c r="G13" s="29">
        <f t="shared" ref="G13" si="5">E13*0.285</f>
        <v>2719.616610576923</v>
      </c>
      <c r="H13" s="23">
        <f t="shared" ref="H13" si="6">SUM(E13:G13)</f>
        <v>16747.1128125</v>
      </c>
    </row>
    <row r="14" spans="1:14" x14ac:dyDescent="0.3">
      <c r="C14" s="45"/>
      <c r="D14" s="21"/>
      <c r="E14" s="23"/>
      <c r="F14" s="132">
        <f>F13/E13</f>
        <v>0.47</v>
      </c>
      <c r="G14" s="133">
        <f>G13/E13</f>
        <v>0.28499999999999998</v>
      </c>
      <c r="H14" s="23"/>
    </row>
    <row r="15" spans="1:14" x14ac:dyDescent="0.3">
      <c r="C15" s="45"/>
      <c r="D15" s="21"/>
      <c r="E15" s="23"/>
      <c r="H15" s="23"/>
    </row>
    <row r="16" spans="1:14" ht="15.6" x14ac:dyDescent="0.3">
      <c r="A16" s="71" t="s">
        <v>33</v>
      </c>
      <c r="B16" s="71"/>
      <c r="C16" s="45">
        <v>53</v>
      </c>
      <c r="D16" s="21">
        <v>135</v>
      </c>
      <c r="E16" s="23">
        <f>C16*D16</f>
        <v>7155</v>
      </c>
      <c r="F16" s="6"/>
      <c r="G16" s="6"/>
      <c r="H16" s="23">
        <f>SUM(E16:G16)</f>
        <v>7155</v>
      </c>
    </row>
    <row r="17" spans="1:8" ht="31.2" x14ac:dyDescent="0.3">
      <c r="A17" s="71" t="s">
        <v>36</v>
      </c>
      <c r="B17" s="71"/>
      <c r="C17" s="78">
        <v>113283.954</v>
      </c>
      <c r="D17" s="21">
        <v>120</v>
      </c>
      <c r="E17" s="23">
        <f>C17/2080*D17</f>
        <v>6535.6127307692304</v>
      </c>
      <c r="F17" s="6"/>
      <c r="G17" s="6"/>
      <c r="H17" s="23">
        <f>SUM(E17:G17)</f>
        <v>6535.6127307692304</v>
      </c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082A4-FF75-4C32-9B67-723FEA54F96E}">
  <sheetPr>
    <tabColor rgb="FF00B0F0"/>
  </sheetPr>
  <dimension ref="A5:H17"/>
  <sheetViews>
    <sheetView workbookViewId="0">
      <selection activeCell="H32" sqref="H32"/>
    </sheetView>
  </sheetViews>
  <sheetFormatPr defaultRowHeight="14.4" x14ac:dyDescent="0.3"/>
  <cols>
    <col min="1" max="1" width="33.44140625" customWidth="1"/>
  </cols>
  <sheetData>
    <row r="5" spans="1:8" ht="15.6" x14ac:dyDescent="0.3">
      <c r="A5" s="71" t="s">
        <v>26</v>
      </c>
      <c r="B5" s="71"/>
      <c r="C5" s="45"/>
      <c r="D5" s="72" t="s">
        <v>57</v>
      </c>
      <c r="E5" s="73" t="s">
        <v>58</v>
      </c>
      <c r="F5" t="s">
        <v>59</v>
      </c>
      <c r="G5" s="6" t="s">
        <v>29</v>
      </c>
      <c r="H5" s="23" t="s">
        <v>60</v>
      </c>
    </row>
    <row r="6" spans="1:8" ht="15.6" x14ac:dyDescent="0.3">
      <c r="A6" s="71" t="s">
        <v>51</v>
      </c>
      <c r="B6" s="74" t="s">
        <v>98</v>
      </c>
      <c r="C6" s="75">
        <v>65876</v>
      </c>
      <c r="D6" s="76">
        <v>30</v>
      </c>
      <c r="E6" s="23">
        <f t="shared" ref="E6:E12" si="0">C6/2080*D6</f>
        <v>950.13461538461536</v>
      </c>
      <c r="F6" s="6">
        <f>E6*0.47</f>
        <v>446.56326923076921</v>
      </c>
      <c r="G6" s="6">
        <f>E6*0.285</f>
        <v>270.78836538461536</v>
      </c>
      <c r="H6" s="23">
        <f>SUM(E6:G6)</f>
        <v>1667.4862499999999</v>
      </c>
    </row>
    <row r="7" spans="1:8" ht="15.6" x14ac:dyDescent="0.3">
      <c r="A7" s="71" t="s">
        <v>52</v>
      </c>
      <c r="B7" s="74" t="s">
        <v>63</v>
      </c>
      <c r="C7" s="75">
        <v>77014</v>
      </c>
      <c r="D7" s="76">
        <v>60</v>
      </c>
      <c r="E7" s="23">
        <f t="shared" si="0"/>
        <v>2221.5576923076924</v>
      </c>
      <c r="F7" s="6">
        <f t="shared" ref="F7:F12" si="1">E7*0.47</f>
        <v>1044.1321153846154</v>
      </c>
      <c r="G7" s="6">
        <f t="shared" ref="G7:G13" si="2">E7*0.285</f>
        <v>633.14394230769233</v>
      </c>
      <c r="H7" s="23">
        <f t="shared" ref="H7:H11" si="3">SUM(E7:G7)</f>
        <v>3898.8337500000002</v>
      </c>
    </row>
    <row r="8" spans="1:8" ht="15.6" x14ac:dyDescent="0.3">
      <c r="A8" s="71" t="s">
        <v>61</v>
      </c>
      <c r="B8" s="74" t="s">
        <v>64</v>
      </c>
      <c r="C8" s="79">
        <v>87177</v>
      </c>
      <c r="D8" s="76">
        <v>10</v>
      </c>
      <c r="E8" s="23">
        <f t="shared" si="0"/>
        <v>419.12019230769232</v>
      </c>
      <c r="F8" s="6">
        <f t="shared" si="1"/>
        <v>196.98649038461539</v>
      </c>
      <c r="G8" s="6">
        <f t="shared" si="2"/>
        <v>119.4492548076923</v>
      </c>
      <c r="H8" s="23">
        <f t="shared" si="3"/>
        <v>735.55593750000003</v>
      </c>
    </row>
    <row r="9" spans="1:8" ht="15.6" x14ac:dyDescent="0.3">
      <c r="A9" s="77" t="s">
        <v>95</v>
      </c>
      <c r="B9" s="74" t="s">
        <v>99</v>
      </c>
      <c r="C9" s="75">
        <v>73089</v>
      </c>
      <c r="D9" s="76">
        <v>40</v>
      </c>
      <c r="E9" s="23">
        <f t="shared" si="0"/>
        <v>1405.5576923076924</v>
      </c>
      <c r="F9" s="6">
        <f t="shared" si="1"/>
        <v>660.61211538461544</v>
      </c>
      <c r="G9" s="6">
        <f t="shared" si="2"/>
        <v>400.58394230769227</v>
      </c>
      <c r="H9" s="23">
        <f t="shared" si="3"/>
        <v>2466.7537499999999</v>
      </c>
    </row>
    <row r="10" spans="1:8" ht="15.6" x14ac:dyDescent="0.3">
      <c r="A10" s="71" t="s">
        <v>34</v>
      </c>
      <c r="B10" s="74" t="s">
        <v>66</v>
      </c>
      <c r="C10" s="75">
        <v>64094</v>
      </c>
      <c r="D10" s="76">
        <v>40</v>
      </c>
      <c r="E10" s="23">
        <f t="shared" si="0"/>
        <v>1232.5769230769231</v>
      </c>
      <c r="F10" s="6">
        <f t="shared" si="1"/>
        <v>579.31115384615384</v>
      </c>
      <c r="G10" s="6">
        <f t="shared" si="2"/>
        <v>351.28442307692308</v>
      </c>
      <c r="H10" s="23">
        <f t="shared" si="3"/>
        <v>2163.1724999999997</v>
      </c>
    </row>
    <row r="11" spans="1:8" ht="15.6" x14ac:dyDescent="0.3">
      <c r="A11" s="71" t="s">
        <v>35</v>
      </c>
      <c r="B11" s="74" t="s">
        <v>67</v>
      </c>
      <c r="C11" s="75">
        <v>113675</v>
      </c>
      <c r="D11" s="76">
        <v>40</v>
      </c>
      <c r="E11" s="23">
        <f t="shared" si="0"/>
        <v>2186.0576923076924</v>
      </c>
      <c r="F11" s="6">
        <f t="shared" si="1"/>
        <v>1027.4471153846155</v>
      </c>
      <c r="G11" s="6">
        <f t="shared" si="2"/>
        <v>623.02644230769226</v>
      </c>
      <c r="H11" s="23">
        <f t="shared" si="3"/>
        <v>3836.53125</v>
      </c>
    </row>
    <row r="12" spans="1:8" ht="15.6" x14ac:dyDescent="0.3">
      <c r="A12" s="71" t="s">
        <v>76</v>
      </c>
      <c r="B12" s="74" t="s">
        <v>77</v>
      </c>
      <c r="C12" s="75">
        <v>60508</v>
      </c>
      <c r="D12" s="76">
        <v>30</v>
      </c>
      <c r="E12" s="23">
        <f t="shared" si="0"/>
        <v>872.71153846153845</v>
      </c>
      <c r="F12" s="6">
        <f t="shared" si="1"/>
        <v>410.17442307692306</v>
      </c>
      <c r="G12" s="6">
        <f t="shared" si="2"/>
        <v>248.72278846153844</v>
      </c>
      <c r="H12" s="23">
        <f t="shared" ref="H12" si="4">SUM(E12:G12)</f>
        <v>1531.6087499999999</v>
      </c>
    </row>
    <row r="13" spans="1:8" x14ac:dyDescent="0.3">
      <c r="C13" s="45"/>
      <c r="D13" s="21"/>
      <c r="E13" s="23">
        <f>SUM(E6:E12)</f>
        <v>9287.7163461538476</v>
      </c>
      <c r="F13" s="6">
        <f>SUM(F6:F12)</f>
        <v>4365.2266826923078</v>
      </c>
      <c r="G13" s="6">
        <f t="shared" si="2"/>
        <v>2646.9991586538463</v>
      </c>
      <c r="H13" s="23">
        <f t="shared" ref="H13" si="5">SUM(E13:G13)</f>
        <v>16299.942187500001</v>
      </c>
    </row>
    <row r="14" spans="1:8" x14ac:dyDescent="0.3">
      <c r="C14" s="45"/>
      <c r="D14" s="21"/>
      <c r="E14" s="23"/>
      <c r="F14" s="132">
        <f>F13/E13</f>
        <v>0.46999999999999992</v>
      </c>
      <c r="G14" s="133">
        <f>G13/E13</f>
        <v>0.28499999999999998</v>
      </c>
      <c r="H14" s="23"/>
    </row>
    <row r="15" spans="1:8" x14ac:dyDescent="0.3">
      <c r="C15" s="45"/>
      <c r="D15" s="21"/>
      <c r="E15" s="23"/>
      <c r="H15" s="23"/>
    </row>
    <row r="16" spans="1:8" ht="15.6" x14ac:dyDescent="0.3">
      <c r="A16" s="71" t="s">
        <v>33</v>
      </c>
      <c r="B16" s="71"/>
      <c r="C16" s="45">
        <v>53</v>
      </c>
      <c r="D16" s="21">
        <v>135</v>
      </c>
      <c r="E16" s="23">
        <f>C16*D16</f>
        <v>7155</v>
      </c>
      <c r="F16" s="6"/>
      <c r="G16" s="6"/>
      <c r="H16" s="23">
        <f>SUM(E16:G16)</f>
        <v>7155</v>
      </c>
    </row>
    <row r="17" spans="1:8" ht="15.6" x14ac:dyDescent="0.3">
      <c r="A17" s="71" t="s">
        <v>36</v>
      </c>
      <c r="B17" s="71"/>
      <c r="C17" s="78">
        <v>113283.954</v>
      </c>
      <c r="D17" s="21">
        <v>120</v>
      </c>
      <c r="E17" s="23">
        <f>C17/2080*D17</f>
        <v>6535.6127307692304</v>
      </c>
      <c r="F17" s="6"/>
      <c r="G17" s="6"/>
      <c r="H17" s="23">
        <f>SUM(E17:G17)</f>
        <v>6535.6127307692304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2B2F-95E9-420E-8847-6E5DD93C1CEE}">
  <sheetPr>
    <tabColor rgb="FF00B0F0"/>
  </sheetPr>
  <dimension ref="A5:H17"/>
  <sheetViews>
    <sheetView workbookViewId="0">
      <selection activeCell="H27" sqref="H27"/>
    </sheetView>
  </sheetViews>
  <sheetFormatPr defaultRowHeight="14.4" x14ac:dyDescent="0.3"/>
  <cols>
    <col min="1" max="1" width="36.44140625" customWidth="1"/>
  </cols>
  <sheetData>
    <row r="5" spans="1:8" ht="15.6" x14ac:dyDescent="0.3">
      <c r="A5" s="71" t="s">
        <v>26</v>
      </c>
      <c r="B5" s="71"/>
      <c r="C5" s="45"/>
      <c r="D5" s="72" t="s">
        <v>57</v>
      </c>
      <c r="E5" s="73" t="s">
        <v>58</v>
      </c>
      <c r="F5" t="s">
        <v>59</v>
      </c>
      <c r="G5" s="6" t="s">
        <v>29</v>
      </c>
      <c r="H5" s="23" t="s">
        <v>60</v>
      </c>
    </row>
    <row r="6" spans="1:8" ht="15.6" x14ac:dyDescent="0.3">
      <c r="A6" s="71" t="s">
        <v>51</v>
      </c>
      <c r="B6" s="74" t="s">
        <v>62</v>
      </c>
      <c r="C6" s="75">
        <f>ROUND((31.05*2080)*1.02,0)</f>
        <v>65876</v>
      </c>
      <c r="D6" s="76">
        <v>10</v>
      </c>
      <c r="E6" s="23">
        <f t="shared" ref="E6:E12" si="0">C6/2080*D6</f>
        <v>316.71153846153845</v>
      </c>
      <c r="F6" s="6">
        <f>E6*0.47</f>
        <v>148.85442307692307</v>
      </c>
      <c r="G6" s="6">
        <f>E6*0.285</f>
        <v>90.262788461538449</v>
      </c>
      <c r="H6" s="23">
        <f>SUM(E6:G6)</f>
        <v>555.82875000000001</v>
      </c>
    </row>
    <row r="7" spans="1:8" ht="15.6" x14ac:dyDescent="0.3">
      <c r="A7" s="71" t="s">
        <v>52</v>
      </c>
      <c r="B7" s="74" t="s">
        <v>63</v>
      </c>
      <c r="C7" s="75">
        <f>ROUND((36.29*2080)*1.02,0)</f>
        <v>76993</v>
      </c>
      <c r="D7" s="76">
        <v>20</v>
      </c>
      <c r="E7" s="23">
        <f t="shared" si="0"/>
        <v>740.31730769230762</v>
      </c>
      <c r="F7" s="6">
        <f t="shared" ref="F7:F12" si="1">E7*0.47</f>
        <v>347.94913461538454</v>
      </c>
      <c r="G7" s="6">
        <f t="shared" ref="G7:G12" si="2">E7*0.285</f>
        <v>210.99043269230765</v>
      </c>
      <c r="H7" s="23">
        <f t="shared" ref="H7:H11" si="3">SUM(E7:G7)</f>
        <v>1299.2568749999998</v>
      </c>
    </row>
    <row r="8" spans="1:8" ht="15.6" x14ac:dyDescent="0.3">
      <c r="A8" s="71" t="s">
        <v>61</v>
      </c>
      <c r="B8" s="74" t="s">
        <v>64</v>
      </c>
      <c r="C8" s="79">
        <v>87177</v>
      </c>
      <c r="D8" s="76">
        <v>10</v>
      </c>
      <c r="E8" s="23">
        <f t="shared" si="0"/>
        <v>419.12019230769232</v>
      </c>
      <c r="F8" s="6">
        <f t="shared" si="1"/>
        <v>196.98649038461539</v>
      </c>
      <c r="G8" s="6">
        <f t="shared" si="2"/>
        <v>119.4492548076923</v>
      </c>
      <c r="H8" s="23">
        <f t="shared" si="3"/>
        <v>735.55593750000003</v>
      </c>
    </row>
    <row r="9" spans="1:8" ht="15.6" x14ac:dyDescent="0.3">
      <c r="A9" s="77" t="s">
        <v>95</v>
      </c>
      <c r="B9" s="74" t="s">
        <v>99</v>
      </c>
      <c r="C9" s="75">
        <f>ROUND((34.45*2080)*1.02,0)</f>
        <v>73089</v>
      </c>
      <c r="D9" s="76">
        <v>40</v>
      </c>
      <c r="E9" s="23">
        <f t="shared" si="0"/>
        <v>1405.5576923076924</v>
      </c>
      <c r="F9" s="6">
        <f t="shared" si="1"/>
        <v>660.61211538461544</v>
      </c>
      <c r="G9" s="6">
        <f t="shared" si="2"/>
        <v>400.58394230769227</v>
      </c>
      <c r="H9" s="23">
        <f t="shared" si="3"/>
        <v>2466.7537499999999</v>
      </c>
    </row>
    <row r="10" spans="1:8" ht="15.6" x14ac:dyDescent="0.3">
      <c r="A10" s="71" t="s">
        <v>34</v>
      </c>
      <c r="B10" s="74" t="s">
        <v>66</v>
      </c>
      <c r="C10" s="79">
        <f>ROUND((30.21*2080)*1.02,0)</f>
        <v>64094</v>
      </c>
      <c r="D10" s="76">
        <v>40</v>
      </c>
      <c r="E10" s="23">
        <f t="shared" si="0"/>
        <v>1232.5769230769231</v>
      </c>
      <c r="F10" s="6">
        <f t="shared" si="1"/>
        <v>579.31115384615384</v>
      </c>
      <c r="G10" s="6">
        <f t="shared" si="2"/>
        <v>351.28442307692308</v>
      </c>
      <c r="H10" s="23">
        <f t="shared" si="3"/>
        <v>2163.1724999999997</v>
      </c>
    </row>
    <row r="11" spans="1:8" ht="15.6" x14ac:dyDescent="0.3">
      <c r="A11" s="71" t="s">
        <v>35</v>
      </c>
      <c r="B11" s="74" t="s">
        <v>67</v>
      </c>
      <c r="C11" s="75">
        <f>ROUND((53.58*2080)*1.02,0)</f>
        <v>113675</v>
      </c>
      <c r="D11" s="76">
        <v>10</v>
      </c>
      <c r="E11" s="23">
        <f t="shared" si="0"/>
        <v>546.51442307692309</v>
      </c>
      <c r="F11" s="6">
        <f t="shared" si="1"/>
        <v>256.86177884615387</v>
      </c>
      <c r="G11" s="6">
        <f t="shared" si="2"/>
        <v>155.75661057692307</v>
      </c>
      <c r="H11" s="23">
        <f t="shared" si="3"/>
        <v>959.1328125</v>
      </c>
    </row>
    <row r="12" spans="1:8" ht="15.6" x14ac:dyDescent="0.3">
      <c r="A12" s="71" t="s">
        <v>76</v>
      </c>
      <c r="B12" s="74" t="s">
        <v>77</v>
      </c>
      <c r="C12" s="75">
        <f>ROUND((28.52*2080)*1.02,0)</f>
        <v>60508</v>
      </c>
      <c r="D12" s="76">
        <v>10</v>
      </c>
      <c r="E12" s="23">
        <f t="shared" si="0"/>
        <v>290.90384615384613</v>
      </c>
      <c r="F12" s="6">
        <f t="shared" si="1"/>
        <v>136.72480769230768</v>
      </c>
      <c r="G12" s="6">
        <f t="shared" si="2"/>
        <v>82.907596153846143</v>
      </c>
      <c r="H12" s="23">
        <f t="shared" ref="H12" si="4">SUM(E12:G12)</f>
        <v>510.53625</v>
      </c>
    </row>
    <row r="13" spans="1:8" x14ac:dyDescent="0.3">
      <c r="C13" s="45"/>
      <c r="D13" s="21"/>
      <c r="E13" s="23">
        <f>SUM(E6:E12)</f>
        <v>4951.7019230769229</v>
      </c>
      <c r="F13" s="23">
        <f t="shared" ref="F13:H13" si="5">SUM(F6:F12)</f>
        <v>2327.2999038461539</v>
      </c>
      <c r="G13" s="23">
        <f t="shared" si="5"/>
        <v>1411.2350480769228</v>
      </c>
      <c r="H13" s="23">
        <f t="shared" si="5"/>
        <v>8690.2368749999987</v>
      </c>
    </row>
    <row r="14" spans="1:8" x14ac:dyDescent="0.3">
      <c r="C14" s="45"/>
      <c r="D14" s="21"/>
      <c r="E14" s="23"/>
      <c r="F14" s="132">
        <f>F13/E13</f>
        <v>0.47000000000000003</v>
      </c>
      <c r="G14" s="133">
        <f>G13/E13</f>
        <v>0.28499999999999998</v>
      </c>
      <c r="H14" s="23"/>
    </row>
    <row r="15" spans="1:8" x14ac:dyDescent="0.3">
      <c r="C15" s="45"/>
      <c r="D15" s="21"/>
      <c r="E15" s="23"/>
      <c r="H15" s="23"/>
    </row>
    <row r="16" spans="1:8" ht="15.6" x14ac:dyDescent="0.3">
      <c r="A16" s="71" t="s">
        <v>33</v>
      </c>
      <c r="B16" s="71"/>
      <c r="C16" s="45">
        <v>53</v>
      </c>
      <c r="D16" s="21">
        <v>135</v>
      </c>
      <c r="E16" s="23">
        <f>C16*D16</f>
        <v>7155</v>
      </c>
      <c r="F16" s="6"/>
      <c r="G16" s="6"/>
      <c r="H16" s="23">
        <f>SUM(E16:G16)</f>
        <v>7155</v>
      </c>
    </row>
    <row r="17" spans="1:8" ht="15.6" x14ac:dyDescent="0.3">
      <c r="A17" s="71" t="s">
        <v>36</v>
      </c>
      <c r="B17" s="71"/>
      <c r="C17" s="78">
        <v>113283.954</v>
      </c>
      <c r="D17" s="21">
        <v>95</v>
      </c>
      <c r="E17" s="23">
        <f>C17/2080*D17</f>
        <v>5174.0267451923073</v>
      </c>
      <c r="F17" s="6"/>
      <c r="G17" s="6"/>
      <c r="H17" s="23">
        <f>SUM(E17:G17)</f>
        <v>5174.0267451923073</v>
      </c>
    </row>
  </sheetData>
  <pageMargins left="0.7" right="0.7" top="0.75" bottom="0.75" header="0.3" footer="0.3"/>
  <ignoredErrors>
    <ignoredError sqref="C9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Final calcs</vt:lpstr>
      <vt:lpstr>xfer to format</vt:lpstr>
      <vt:lpstr>Personel Overall</vt:lpstr>
      <vt:lpstr>Personnel 2021</vt:lpstr>
      <vt:lpstr>Personnel 2022</vt:lpstr>
      <vt:lpstr>Personnel 2023</vt:lpstr>
      <vt:lpstr>Personnel 2024</vt:lpstr>
      <vt:lpstr>Personnel 2025</vt:lpstr>
      <vt:lpstr>Personnel 2026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turner</dc:creator>
  <cp:lastModifiedBy>Porter, Kristen (DEQ)</cp:lastModifiedBy>
  <cp:lastPrinted>2021-10-20T12:30:28Z</cp:lastPrinted>
  <dcterms:created xsi:type="dcterms:W3CDTF">2020-03-31T13:03:45Z</dcterms:created>
  <dcterms:modified xsi:type="dcterms:W3CDTF">2023-11-17T15:03:12Z</dcterms:modified>
</cp:coreProperties>
</file>